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C30756DA-6494-436F-84FB-08D736188799}" xr6:coauthVersionLast="47" xr6:coauthVersionMax="47" xr10:uidLastSave="{00000000-0000-0000-0000-000000000000}"/>
  <bookViews>
    <workbookView xWindow="-120" yWindow="-120" windowWidth="20730" windowHeight="11160" tabRatio="859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4" r:id="rId10"/>
    <sheet name="Peta lokasi" sheetId="85" r:id="rId11"/>
    <sheet name="SLD " sheetId="8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9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INDEX([93]KKO!#REF!,MATCH([93]KKO!#REF!:[93]KKO!#REF!,0)*2)</definedName>
    <definedName name="GBR" localSheetId="10">INDEX([92]KKO!#REF!,MATCH([92]KKO!#REF!:[92]KKO!#REF!,0)*2)</definedName>
    <definedName name="GBR" localSheetId="11">INDEX([92]KKO!#REF!,MATCH([92]KKO!#REF!:[92]KKO!#REF!,0)*2)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INDEX([93]PDL!$B$1:$B$3,IFERROR(MATCH([93]KKO!$D$15,[93]PDL!$A$1:$A$2,),3))</definedName>
    <definedName name="Kutools_PDL0_1" localSheetId="10">INDEX([92]PDL!$B$1:$B$3,IFERROR(MATCH([92]KKO!$D$15,[92]PDL!$A$1:$A$2,),3))</definedName>
    <definedName name="Kutools_PDL0_1" localSheetId="11">INDEX([92]PDL!$B$1:$B$3,IFERROR(MATCH([92]KKO!$D$15,[92]PDL!$A$1:$A$2,),3))</definedName>
    <definedName name="Kutools_PDL0_1">INDEX(PDL!$B$1:$B$3,IFERROR(MATCH(KKO!$D$15,PDL!$A$1:$A$2,),3))</definedName>
    <definedName name="Kutools_PDL1_1" localSheetId="9">INDEX([93]PDL!$D$4:$D$6,IFERROR(MATCH([93]KKO!$D$15,[93]PDL!$C$4:$C$5,),3))</definedName>
    <definedName name="Kutools_PDL1_1" localSheetId="10">INDEX([92]PDL!$D$4:$D$6,IFERROR(MATCH([92]KKO!$D$15,[92]PDL!$C$4:$C$5,),3))</definedName>
    <definedName name="Kutools_PDL1_1" localSheetId="11">INDEX([92]PDL!$D$4:$D$6,IFERROR(MATCH([92]KKO!$D$15,[92]PDL!$C$4:$C$5,),3))</definedName>
    <definedName name="Kutools_PDL1_1">INDEX(PDL!$D$4:$D$6,IFERROR(MATCH(KKO!$D$15,PDL!$C$4:$C$5,),3))</definedName>
    <definedName name="Kutools_PDL10_1" localSheetId="9">INDEX([93]PDL!$V$31:$V$33,IFERROR(MATCH([93]KKO!$K$15,[93]PDL!$U$31:$U$32,),3))</definedName>
    <definedName name="Kutools_PDL10_1" localSheetId="10">INDEX([92]PDL!$V$31:$V$33,IFERROR(MATCH([92]KKO!$K$15,[92]PDL!$U$31:$U$32,),3))</definedName>
    <definedName name="Kutools_PDL10_1" localSheetId="11">INDEX([92]PDL!$V$31:$V$33,IFERROR(MATCH([92]KKO!$K$15,[92]PDL!$U$31:$U$32,),3))</definedName>
    <definedName name="Kutools_PDL10_1">INDEX(PDL!$V$31:$V$33,IFERROR(MATCH(KKO!$K$15,PDL!$U$31:$U$32,),3))</definedName>
    <definedName name="Kutools_PDL2_1" localSheetId="9">INDEX([93]PDL!$F$7:$F$9,IFERROR(MATCH([93]KKO!$K$15,[93]PDL!$E$7:$E$8,),3))</definedName>
    <definedName name="Kutools_PDL2_1" localSheetId="10">INDEX([92]PDL!$F$7:$F$9,IFERROR(MATCH([92]KKO!$K$15,[92]PDL!$E$7:$E$8,),3))</definedName>
    <definedName name="Kutools_PDL2_1" localSheetId="11">INDEX([92]PDL!$F$7:$F$9,IFERROR(MATCH([92]KKO!$K$15,[92]PDL!$E$7:$E$8,),3))</definedName>
    <definedName name="Kutools_PDL2_1">INDEX(PDL!$F$7:$F$9,IFERROR(MATCH(KKO!$K$15,PDL!$E$7:$E$8,),3))</definedName>
    <definedName name="Kutools_PDL3_1" localSheetId="9">INDEX([93]PDL!$H$10:$H$12,IFERROR(MATCH([93]KKO!$D$15,[93]PDL!$G$10:$G$11,),3))</definedName>
    <definedName name="Kutools_PDL3_1" localSheetId="10">INDEX([92]PDL!$H$10:$H$12,IFERROR(MATCH([92]KKO!$D$15,[92]PDL!$G$10:$G$11,),3))</definedName>
    <definedName name="Kutools_PDL3_1" localSheetId="11">INDEX([92]PDL!$H$10:$H$12,IFERROR(MATCH([92]KKO!$D$15,[92]PDL!$G$10:$G$11,),3))</definedName>
    <definedName name="Kutools_PDL3_1">INDEX(PDL!$H$10:$H$12,IFERROR(MATCH(KKO!$D$15,PDL!$G$10:$G$11,),3))</definedName>
    <definedName name="Kutools_PDL4_1" localSheetId="9">INDEX([93]PDL!$J$13:$J$15,IFERROR(MATCH([93]KKO!$D$15,[93]PDL!$I$13:$I$14,),3))</definedName>
    <definedName name="Kutools_PDL4_1" localSheetId="10">INDEX([92]PDL!$J$13:$J$15,IFERROR(MATCH([92]KKO!$D$15,[92]PDL!$I$13:$I$14,),3))</definedName>
    <definedName name="Kutools_PDL4_1" localSheetId="11">INDEX([92]PDL!$J$13:$J$15,IFERROR(MATCH([92]KKO!$D$15,[92]PDL!$I$13:$I$14,),3))</definedName>
    <definedName name="Kutools_PDL4_1">INDEX(PDL!$J$13:$J$15,IFERROR(MATCH(KKO!$D$15,PDL!$I$13:$I$14,),3))</definedName>
    <definedName name="Kutools_PDL5_1" localSheetId="9">INDEX([93]PDL!$L$16:$L$18,IFERROR(MATCH([93]KKO!$K$15,[93]PDL!$K$16:$K$17,),3))</definedName>
    <definedName name="Kutools_PDL5_1" localSheetId="10">INDEX([92]PDL!$L$16:$L$18,IFERROR(MATCH([92]KKO!$K$15,[92]PDL!$K$16:$K$17,),3))</definedName>
    <definedName name="Kutools_PDL5_1" localSheetId="11">INDEX([92]PDL!$L$16:$L$18,IFERROR(MATCH([92]KKO!$K$15,[92]PDL!$K$16:$K$17,),3))</definedName>
    <definedName name="Kutools_PDL5_1">INDEX(PDL!$L$16:$L$18,IFERROR(MATCH(KKO!$K$15,PDL!$K$16:$K$17,),3))</definedName>
    <definedName name="Kutools_PDL6_1" localSheetId="9">INDEX([93]PDL!$N$19:$N$21,IFERROR(MATCH([93]KKO!$D$15,[93]PDL!$M$19:$M$20,),3))</definedName>
    <definedName name="Kutools_PDL6_1" localSheetId="10">INDEX([92]PDL!$N$19:$N$21,IFERROR(MATCH([92]KKO!$D$15,[92]PDL!$M$19:$M$20,),3))</definedName>
    <definedName name="Kutools_PDL6_1" localSheetId="11">INDEX([92]PDL!$N$19:$N$21,IFERROR(MATCH([92]KKO!$D$15,[92]PDL!$M$19:$M$20,),3))</definedName>
    <definedName name="Kutools_PDL6_1">INDEX(PDL!$N$19:$N$21,IFERROR(MATCH(KKO!$D$15,PDL!$M$19:$M$20,),3))</definedName>
    <definedName name="Kutools_PDL7_1" localSheetId="9">INDEX([93]PDL!$P$22:$P$24,IFERROR(MATCH([93]KKO!$D$15,[93]PDL!$O$22:$O$23,),3))</definedName>
    <definedName name="Kutools_PDL7_1" localSheetId="10">INDEX([92]PDL!$P$22:$P$24,IFERROR(MATCH([92]KKO!$D$15,[92]PDL!$O$22:$O$23,),3))</definedName>
    <definedName name="Kutools_PDL7_1" localSheetId="11">INDEX([92]PDL!$P$22:$P$24,IFERROR(MATCH([92]KKO!$D$15,[92]PDL!$O$22:$O$23,),3))</definedName>
    <definedName name="Kutools_PDL7_1">INDEX(PDL!$P$22:$P$24,IFERROR(MATCH(KKO!$D$15,PDL!$O$22:$O$23,),3))</definedName>
    <definedName name="Kutools_PDL8_1" localSheetId="9">INDEX([93]PDL!$R$25:$R$27,IFERROR(MATCH([93]KKO!$D$15,[93]PDL!$Q$25:$Q$26,),3))</definedName>
    <definedName name="Kutools_PDL8_1" localSheetId="10">INDEX([92]PDL!$R$25:$R$27,IFERROR(MATCH([92]KKO!$D$15,[92]PDL!$Q$25:$Q$26,),3))</definedName>
    <definedName name="Kutools_PDL8_1" localSheetId="11">INDEX([92]PDL!$R$25:$R$27,IFERROR(MATCH([92]KKO!$D$15,[92]PDL!$Q$25:$Q$26,),3))</definedName>
    <definedName name="Kutools_PDL8_1">INDEX(PDL!$R$25:$R$27,IFERROR(MATCH(KKO!$D$15,PDL!$Q$25:$Q$26,),3))</definedName>
    <definedName name="Kutools_PDL9_1" localSheetId="9">INDEX([93]PDL!$T$28:$T$30,IFERROR(MATCH([93]KKO!$D$15,[93]PDL!$S$28:$S$29,),3))</definedName>
    <definedName name="Kutools_PDL9_1" localSheetId="10">INDEX([92]PDL!$T$28:$T$30,IFERROR(MATCH([92]KKO!$D$15,[92]PDL!$S$28:$S$29,),3))</definedName>
    <definedName name="Kutools_PDL9_1" localSheetId="11">INDEX([92]PDL!$T$28:$T$30,IFERROR(MATCH([92]KKO!$D$15,[92]PDL!$S$28:$S$29,),3))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[93]KKO!#REF!</definedName>
    <definedName name="pict" localSheetId="10">[92]KKO!#REF!</definedName>
    <definedName name="pict" localSheetId="11">[92]KKO!#REF!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</workbook>
</file>

<file path=xl/calcChain.xml><?xml version="1.0" encoding="utf-8"?>
<calcChain xmlns="http://schemas.openxmlformats.org/spreadsheetml/2006/main">
  <c r="F74" i="11" l="1"/>
  <c r="F73" i="11"/>
  <c r="F72" i="11"/>
  <c r="F71" i="11"/>
  <c r="F40" i="11"/>
  <c r="F39" i="11"/>
  <c r="F38" i="11"/>
  <c r="F37" i="11"/>
  <c r="F36" i="11"/>
  <c r="Z26" i="84"/>
  <c r="AH20" i="84"/>
  <c r="F82" i="11"/>
  <c r="F81" i="11"/>
  <c r="F80" i="11"/>
  <c r="F79" i="11"/>
  <c r="F78" i="11"/>
  <c r="G75" i="11"/>
  <c r="D75" i="11"/>
  <c r="H75" i="11" s="1"/>
  <c r="E75" i="11"/>
  <c r="G69" i="11"/>
  <c r="G70" i="11"/>
  <c r="G71" i="11"/>
  <c r="G72" i="11"/>
  <c r="G73" i="11"/>
  <c r="G74" i="11"/>
  <c r="G76" i="11"/>
  <c r="G77" i="11"/>
  <c r="G78" i="11"/>
  <c r="G79" i="11"/>
  <c r="G80" i="11"/>
  <c r="G81" i="11"/>
  <c r="G82" i="11"/>
  <c r="G83" i="11"/>
  <c r="D69" i="11"/>
  <c r="H69" i="11" s="1"/>
  <c r="E69" i="11"/>
  <c r="D70" i="11"/>
  <c r="J70" i="11" s="1"/>
  <c r="E70" i="11"/>
  <c r="D71" i="11"/>
  <c r="I71" i="11" s="1"/>
  <c r="E71" i="11"/>
  <c r="D72" i="11"/>
  <c r="E72" i="11"/>
  <c r="D73" i="11"/>
  <c r="E73" i="11"/>
  <c r="D74" i="11"/>
  <c r="E74" i="11"/>
  <c r="D76" i="11"/>
  <c r="I76" i="11" s="1"/>
  <c r="E76" i="11"/>
  <c r="D77" i="11"/>
  <c r="H77" i="11" s="1"/>
  <c r="E77" i="11"/>
  <c r="D78" i="11"/>
  <c r="H78" i="11" s="1"/>
  <c r="E78" i="11"/>
  <c r="D79" i="11"/>
  <c r="J79" i="11" s="1"/>
  <c r="E79" i="11"/>
  <c r="D80" i="11"/>
  <c r="I80" i="11" s="1"/>
  <c r="E80" i="11"/>
  <c r="D81" i="11"/>
  <c r="H81" i="11" s="1"/>
  <c r="E81" i="11"/>
  <c r="D82" i="11"/>
  <c r="H82" i="11" s="1"/>
  <c r="E82" i="11"/>
  <c r="D83" i="11"/>
  <c r="J83" i="11" s="1"/>
  <c r="E83" i="11"/>
  <c r="F33" i="11"/>
  <c r="F32" i="11"/>
  <c r="F31" i="11"/>
  <c r="F30" i="11"/>
  <c r="F29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D27" i="11"/>
  <c r="H27" i="11" s="1"/>
  <c r="E27" i="11"/>
  <c r="D28" i="11"/>
  <c r="J28" i="11" s="1"/>
  <c r="E28" i="11"/>
  <c r="D29" i="11"/>
  <c r="E29" i="11"/>
  <c r="D30" i="11"/>
  <c r="H30" i="11" s="1"/>
  <c r="E30" i="11"/>
  <c r="D31" i="11"/>
  <c r="H31" i="11" s="1"/>
  <c r="E31" i="11"/>
  <c r="D32" i="11"/>
  <c r="J32" i="11" s="1"/>
  <c r="E32" i="11"/>
  <c r="D33" i="11"/>
  <c r="I33" i="11" s="1"/>
  <c r="E33" i="11"/>
  <c r="D34" i="11"/>
  <c r="H34" i="11" s="1"/>
  <c r="E34" i="11"/>
  <c r="D35" i="11"/>
  <c r="H35" i="11" s="1"/>
  <c r="E35" i="11"/>
  <c r="D36" i="11"/>
  <c r="J36" i="11" s="1"/>
  <c r="E36" i="11"/>
  <c r="D37" i="11"/>
  <c r="E37" i="11"/>
  <c r="D38" i="11"/>
  <c r="H38" i="11" s="1"/>
  <c r="E38" i="11"/>
  <c r="D39" i="11"/>
  <c r="H39" i="11" s="1"/>
  <c r="E39" i="11"/>
  <c r="D40" i="11"/>
  <c r="E40" i="11"/>
  <c r="F26" i="11"/>
  <c r="F25" i="11"/>
  <c r="F24" i="11"/>
  <c r="F23" i="11"/>
  <c r="G15" i="11"/>
  <c r="G16" i="11"/>
  <c r="G17" i="11"/>
  <c r="I17" i="11" s="1"/>
  <c r="H17" i="11"/>
  <c r="J17" i="11"/>
  <c r="G18" i="11"/>
  <c r="G19" i="11"/>
  <c r="I37" i="11" l="1"/>
  <c r="I29" i="11"/>
  <c r="J75" i="11"/>
  <c r="I75" i="11"/>
  <c r="H73" i="11"/>
  <c r="J74" i="11"/>
  <c r="H72" i="11"/>
  <c r="J78" i="11"/>
  <c r="H76" i="11"/>
  <c r="H70" i="11"/>
  <c r="I79" i="11"/>
  <c r="J73" i="11"/>
  <c r="H71" i="11"/>
  <c r="H79" i="11"/>
  <c r="J77" i="11"/>
  <c r="I74" i="11"/>
  <c r="J69" i="11"/>
  <c r="H80" i="11"/>
  <c r="H74" i="11"/>
  <c r="J72" i="11"/>
  <c r="I70" i="11"/>
  <c r="I83" i="11"/>
  <c r="J82" i="11"/>
  <c r="H83" i="11"/>
  <c r="I82" i="11"/>
  <c r="J81" i="11"/>
  <c r="I78" i="11"/>
  <c r="I73" i="11"/>
  <c r="I69" i="11"/>
  <c r="I81" i="11"/>
  <c r="J80" i="11"/>
  <c r="I77" i="11"/>
  <c r="J76" i="11"/>
  <c r="I72" i="11"/>
  <c r="J71" i="11"/>
  <c r="J40" i="11"/>
  <c r="I32" i="11"/>
  <c r="I28" i="11"/>
  <c r="I40" i="11"/>
  <c r="I36" i="11"/>
  <c r="H40" i="11"/>
  <c r="I39" i="11"/>
  <c r="J38" i="11"/>
  <c r="H36" i="11"/>
  <c r="I35" i="11"/>
  <c r="J34" i="11"/>
  <c r="H32" i="11"/>
  <c r="I31" i="11"/>
  <c r="J30" i="11"/>
  <c r="H28" i="11"/>
  <c r="I27" i="11"/>
  <c r="J39" i="11"/>
  <c r="H37" i="11"/>
  <c r="J35" i="11"/>
  <c r="H33" i="11"/>
  <c r="J31" i="11"/>
  <c r="H29" i="11"/>
  <c r="J27" i="11"/>
  <c r="I38" i="11"/>
  <c r="J37" i="11"/>
  <c r="I34" i="11"/>
  <c r="J33" i="11"/>
  <c r="I30" i="11"/>
  <c r="J29" i="11"/>
  <c r="K17" i="11"/>
  <c r="K30" i="11" l="1"/>
  <c r="K81" i="11"/>
  <c r="K78" i="11"/>
  <c r="K75" i="11"/>
  <c r="K74" i="11"/>
  <c r="K72" i="11"/>
  <c r="K82" i="11"/>
  <c r="K80" i="11"/>
  <c r="K79" i="11"/>
  <c r="K34" i="11"/>
  <c r="K77" i="11"/>
  <c r="K73" i="11"/>
  <c r="K71" i="11"/>
  <c r="K76" i="11"/>
  <c r="K69" i="11"/>
  <c r="K32" i="11"/>
  <c r="K83" i="11"/>
  <c r="K70" i="11"/>
  <c r="K38" i="11"/>
  <c r="K36" i="11"/>
  <c r="K28" i="11"/>
  <c r="K40" i="11"/>
  <c r="K35" i="11"/>
  <c r="K31" i="11"/>
  <c r="K27" i="11"/>
  <c r="K39" i="11"/>
  <c r="K33" i="11"/>
  <c r="K29" i="11"/>
  <c r="K37" i="11"/>
  <c r="D8" i="59" l="1"/>
  <c r="G66" i="11"/>
  <c r="G67" i="11"/>
  <c r="D66" i="11"/>
  <c r="H66" i="11" s="1"/>
  <c r="E66" i="11"/>
  <c r="D67" i="11"/>
  <c r="E67" i="11"/>
  <c r="E16" i="11"/>
  <c r="E17" i="11"/>
  <c r="E18" i="11"/>
  <c r="E19" i="11"/>
  <c r="G22" i="11"/>
  <c r="G23" i="11"/>
  <c r="G24" i="11"/>
  <c r="G25" i="11"/>
  <c r="G26" i="11"/>
  <c r="G41" i="11"/>
  <c r="D22" i="11"/>
  <c r="H22" i="11" s="1"/>
  <c r="E22" i="11"/>
  <c r="D23" i="11"/>
  <c r="J23" i="11" s="1"/>
  <c r="E23" i="11"/>
  <c r="D24" i="11"/>
  <c r="E24" i="11"/>
  <c r="D25" i="11"/>
  <c r="H25" i="11" s="1"/>
  <c r="E25" i="11"/>
  <c r="D26" i="11"/>
  <c r="H26" i="11" s="1"/>
  <c r="E26" i="11"/>
  <c r="D41" i="11"/>
  <c r="J41" i="11" s="1"/>
  <c r="E41" i="11"/>
  <c r="D18" i="11"/>
  <c r="H18" i="11" l="1"/>
  <c r="I18" i="11"/>
  <c r="J18" i="11"/>
  <c r="J67" i="11"/>
  <c r="I67" i="11"/>
  <c r="J66" i="11"/>
  <c r="H67" i="11"/>
  <c r="I66" i="11"/>
  <c r="I24" i="11"/>
  <c r="I41" i="11"/>
  <c r="J26" i="11"/>
  <c r="H24" i="11"/>
  <c r="I23" i="11"/>
  <c r="J22" i="11"/>
  <c r="H41" i="11"/>
  <c r="I26" i="11"/>
  <c r="J25" i="11"/>
  <c r="H23" i="11"/>
  <c r="I22" i="11"/>
  <c r="I25" i="11"/>
  <c r="J24" i="11"/>
  <c r="K18" i="11" l="1"/>
  <c r="K67" i="11"/>
  <c r="K66" i="11"/>
  <c r="K23" i="11"/>
  <c r="K26" i="11"/>
  <c r="K25" i="11"/>
  <c r="K22" i="11"/>
  <c r="K41" i="11"/>
  <c r="K24" i="11"/>
  <c r="D68" i="11" l="1"/>
  <c r="H68" i="11" s="1"/>
  <c r="D84" i="11"/>
  <c r="J84" i="11" s="1"/>
  <c r="G68" i="11"/>
  <c r="D15" i="11"/>
  <c r="D16" i="11"/>
  <c r="D19" i="11"/>
  <c r="D20" i="11"/>
  <c r="H20" i="11" s="1"/>
  <c r="D21" i="11"/>
  <c r="H21" i="11" s="1"/>
  <c r="G20" i="11"/>
  <c r="G21" i="11"/>
  <c r="K6" i="60"/>
  <c r="M85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62" i="11"/>
  <c r="E62" i="11"/>
  <c r="D62" i="11"/>
  <c r="G61" i="11"/>
  <c r="E61" i="11"/>
  <c r="D61" i="11"/>
  <c r="H61" i="11" s="1"/>
  <c r="G60" i="11"/>
  <c r="E60" i="11"/>
  <c r="D60" i="11"/>
  <c r="G59" i="11"/>
  <c r="E59" i="11"/>
  <c r="D59" i="11"/>
  <c r="J59" i="11" s="1"/>
  <c r="G58" i="11"/>
  <c r="E58" i="11"/>
  <c r="D58" i="11"/>
  <c r="I58" i="11" s="1"/>
  <c r="G57" i="11"/>
  <c r="E57" i="11"/>
  <c r="D57" i="11"/>
  <c r="G56" i="11"/>
  <c r="E56" i="11"/>
  <c r="D56" i="11"/>
  <c r="H56" i="11" s="1"/>
  <c r="G55" i="11"/>
  <c r="E55" i="11"/>
  <c r="D55" i="11"/>
  <c r="G54" i="11"/>
  <c r="E54" i="11"/>
  <c r="D54" i="11"/>
  <c r="G53" i="11"/>
  <c r="E53" i="11"/>
  <c r="D53" i="11"/>
  <c r="G52" i="11"/>
  <c r="E52" i="11"/>
  <c r="D52" i="11"/>
  <c r="J52" i="11" s="1"/>
  <c r="G51" i="11"/>
  <c r="E51" i="11"/>
  <c r="D51" i="11"/>
  <c r="J51" i="11" s="1"/>
  <c r="G50" i="11"/>
  <c r="E50" i="11"/>
  <c r="D50" i="11"/>
  <c r="G49" i="11"/>
  <c r="E49" i="11"/>
  <c r="D49" i="11"/>
  <c r="G48" i="11"/>
  <c r="E48" i="11"/>
  <c r="D48" i="11"/>
  <c r="G47" i="11"/>
  <c r="E47" i="11"/>
  <c r="D47" i="11"/>
  <c r="G46" i="11"/>
  <c r="E46" i="11"/>
  <c r="D46" i="11"/>
  <c r="J46" i="11" s="1"/>
  <c r="G45" i="11"/>
  <c r="E45" i="11"/>
  <c r="D45" i="11"/>
  <c r="G44" i="11"/>
  <c r="E44" i="11"/>
  <c r="D44" i="11"/>
  <c r="G43" i="11"/>
  <c r="E43" i="11"/>
  <c r="D43" i="11"/>
  <c r="G42" i="11"/>
  <c r="E42" i="11"/>
  <c r="D42" i="11"/>
  <c r="D14" i="59"/>
  <c r="D5" i="60" s="1"/>
  <c r="K5" i="60" s="1"/>
  <c r="E21" i="11"/>
  <c r="E20" i="11"/>
  <c r="E15" i="11"/>
  <c r="A15" i="11"/>
  <c r="D19" i="59"/>
  <c r="D18" i="59"/>
  <c r="M16" i="11"/>
  <c r="E68" i="11"/>
  <c r="D63" i="11"/>
  <c r="E63" i="11"/>
  <c r="D64" i="11"/>
  <c r="E64" i="11"/>
  <c r="M68" i="11"/>
  <c r="D65" i="11"/>
  <c r="E65" i="11"/>
  <c r="E84" i="11"/>
  <c r="G84" i="11"/>
  <c r="D14" i="11"/>
  <c r="H14" i="11" s="1"/>
  <c r="E14" i="11"/>
  <c r="G14" i="11"/>
  <c r="K19" i="60"/>
  <c r="D19" i="60"/>
  <c r="M84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85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5" i="11"/>
  <c r="D86" i="11"/>
  <c r="E86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6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5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64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5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93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3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77" i="11"/>
  <c r="M64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42" i="11" l="1"/>
  <c r="H15" i="11"/>
  <c r="I15" i="11"/>
  <c r="J15" i="11"/>
  <c r="H19" i="11"/>
  <c r="I19" i="11"/>
  <c r="J19" i="11"/>
  <c r="J16" i="11"/>
  <c r="H16" i="11"/>
  <c r="I16" i="11"/>
  <c r="H65" i="11"/>
  <c r="D312" i="29"/>
  <c r="E312" i="29" s="1"/>
  <c r="D802" i="41"/>
  <c r="E802" i="41" s="1"/>
  <c r="D22" i="59"/>
  <c r="K8" i="60" s="1"/>
  <c r="D21" i="59"/>
  <c r="M78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79" i="11"/>
  <c r="M80" i="11"/>
  <c r="M82" i="11"/>
  <c r="M81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301" i="29"/>
  <c r="E1201" i="41"/>
  <c r="E1055" i="41"/>
  <c r="E1315" i="41"/>
  <c r="E1066" i="41"/>
  <c r="E1165" i="41"/>
  <c r="F811" i="41"/>
  <c r="F757" i="41"/>
  <c r="E1259" i="41"/>
  <c r="F837" i="4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15" i="29"/>
  <c r="F322" i="29"/>
  <c r="F250" i="29"/>
  <c r="E273" i="29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5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63" i="11"/>
  <c r="I63" i="11"/>
  <c r="F806" i="41"/>
  <c r="E1081" i="41"/>
  <c r="E1027" i="41"/>
  <c r="F861" i="41"/>
  <c r="E861" i="41"/>
  <c r="E230" i="29"/>
  <c r="E346" i="29"/>
  <c r="E274" i="29"/>
  <c r="F274" i="29"/>
  <c r="H86" i="11"/>
  <c r="J86" i="11"/>
  <c r="J65" i="11"/>
  <c r="E340" i="29"/>
  <c r="I46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46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I21" i="11"/>
  <c r="E1042" i="41"/>
  <c r="E1241" i="41"/>
  <c r="E1312" i="41"/>
  <c r="E1262" i="41"/>
  <c r="E1233" i="41"/>
  <c r="E1318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2" i="41"/>
  <c r="F789" i="41"/>
  <c r="E749" i="41"/>
  <c r="F783" i="41"/>
  <c r="E1003" i="41"/>
  <c r="E785" i="41"/>
  <c r="E1047" i="41"/>
  <c r="E1211" i="41"/>
  <c r="E1043" i="41"/>
  <c r="E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J64" i="11"/>
  <c r="I64" i="11"/>
  <c r="E348" i="29"/>
  <c r="E59" i="39"/>
  <c r="E290" i="29"/>
  <c r="F290" i="29"/>
  <c r="F323" i="29"/>
  <c r="E260" i="29"/>
  <c r="E236" i="29"/>
  <c r="E73" i="39"/>
  <c r="E341" i="29"/>
  <c r="F341" i="29"/>
  <c r="F299" i="29"/>
  <c r="J62" i="11"/>
  <c r="H62" i="11"/>
  <c r="I62" i="11"/>
  <c r="F300" i="29"/>
  <c r="E284" i="29"/>
  <c r="J20" i="11"/>
  <c r="F233" i="29"/>
  <c r="E58" i="39"/>
  <c r="F319" i="29"/>
  <c r="F310" i="29"/>
  <c r="H64" i="11"/>
  <c r="H63" i="11"/>
  <c r="J21" i="11"/>
  <c r="M7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H45" i="11"/>
  <c r="J45" i="11"/>
  <c r="I45" i="11"/>
  <c r="J49" i="11"/>
  <c r="I49" i="11"/>
  <c r="H49" i="11"/>
  <c r="J53" i="11"/>
  <c r="H53" i="11"/>
  <c r="I57" i="11"/>
  <c r="J57" i="11"/>
  <c r="H57" i="11"/>
  <c r="I44" i="11"/>
  <c r="H44" i="11"/>
  <c r="J44" i="11"/>
  <c r="I48" i="11"/>
  <c r="J48" i="11"/>
  <c r="H48" i="11"/>
  <c r="H52" i="11"/>
  <c r="I52" i="11"/>
  <c r="I56" i="11"/>
  <c r="J56" i="11"/>
  <c r="I60" i="11"/>
  <c r="H60" i="11"/>
  <c r="J60" i="11"/>
  <c r="I86" i="11"/>
  <c r="J43" i="11"/>
  <c r="H43" i="11"/>
  <c r="I43" i="11"/>
  <c r="J47" i="11"/>
  <c r="H47" i="11"/>
  <c r="I47" i="11"/>
  <c r="I51" i="11"/>
  <c r="H51" i="11"/>
  <c r="J55" i="11"/>
  <c r="H55" i="11"/>
  <c r="I55" i="11"/>
  <c r="H59" i="11"/>
  <c r="I59" i="11"/>
  <c r="I53" i="11"/>
  <c r="H42" i="11"/>
  <c r="J42" i="11"/>
  <c r="I50" i="11"/>
  <c r="H50" i="11"/>
  <c r="J50" i="11"/>
  <c r="J54" i="11"/>
  <c r="H54" i="11"/>
  <c r="I54" i="11"/>
  <c r="J58" i="11"/>
  <c r="H58" i="11"/>
  <c r="I61" i="11"/>
  <c r="I84" i="11"/>
  <c r="J68" i="11"/>
  <c r="J61" i="11"/>
  <c r="I20" i="11"/>
  <c r="H84" i="11"/>
  <c r="I68" i="11"/>
  <c r="F722" i="41" l="1"/>
  <c r="F232" i="29"/>
  <c r="F839" i="41"/>
  <c r="F349" i="29"/>
  <c r="F838" i="41"/>
  <c r="F348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69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9" i="1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68" i="11"/>
  <c r="K56" i="11"/>
  <c r="M56" i="11" s="1"/>
  <c r="K46" i="11"/>
  <c r="M46" i="11" s="1"/>
  <c r="K65" i="11"/>
  <c r="M65" i="11" s="1"/>
  <c r="K21" i="11"/>
  <c r="K20" i="11"/>
  <c r="M20" i="11" s="1"/>
  <c r="M83" i="11"/>
  <c r="K86" i="11"/>
  <c r="K62" i="11"/>
  <c r="M62" i="11" s="1"/>
  <c r="K63" i="11"/>
  <c r="M63" i="11" s="1"/>
  <c r="M19" i="11"/>
  <c r="F350" i="29"/>
  <c r="K59" i="11"/>
  <c r="M59" i="11" s="1"/>
  <c r="K61" i="11"/>
  <c r="M61" i="11" s="1"/>
  <c r="K42" i="11"/>
  <c r="M42" i="11" s="1"/>
  <c r="K52" i="11"/>
  <c r="M52" i="11" s="1"/>
  <c r="K45" i="11"/>
  <c r="M45" i="11" s="1"/>
  <c r="K50" i="11"/>
  <c r="M50" i="11" s="1"/>
  <c r="K64" i="11"/>
  <c r="K84" i="11"/>
  <c r="K47" i="11"/>
  <c r="M47" i="11" s="1"/>
  <c r="H85" i="11"/>
  <c r="H88" i="11" s="1"/>
  <c r="F312" i="29"/>
  <c r="F339" i="29"/>
  <c r="F226" i="29"/>
  <c r="F345" i="29"/>
  <c r="F239" i="29"/>
  <c r="I85" i="11"/>
  <c r="I88" i="11" s="1"/>
  <c r="J85" i="11"/>
  <c r="J88" i="11" s="1"/>
  <c r="K51" i="11"/>
  <c r="M51" i="11" s="1"/>
  <c r="K60" i="11"/>
  <c r="M60" i="11" s="1"/>
  <c r="K53" i="11"/>
  <c r="M53" i="11" s="1"/>
  <c r="K54" i="11"/>
  <c r="M54" i="11" s="1"/>
  <c r="K57" i="11"/>
  <c r="M57" i="11" s="1"/>
  <c r="K58" i="11"/>
  <c r="M58" i="11" s="1"/>
  <c r="K55" i="11"/>
  <c r="M55" i="11" s="1"/>
  <c r="K43" i="11"/>
  <c r="M43" i="11" s="1"/>
  <c r="K48" i="11"/>
  <c r="M48" i="11" s="1"/>
  <c r="K44" i="11"/>
  <c r="M44" i="11" s="1"/>
  <c r="K49" i="11"/>
  <c r="M49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B18" i="39" s="1"/>
  <c r="E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D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B124" i="29" s="1"/>
  <c r="E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89" i="11"/>
  <c r="J90" i="11" s="1"/>
  <c r="H89" i="11"/>
  <c r="H90" i="11" s="1"/>
  <c r="I89" i="11"/>
  <c r="I90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8" i="29"/>
  <c r="D67" i="29"/>
  <c r="D106" i="29"/>
  <c r="D92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85" i="11"/>
  <c r="K88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33" i="39" l="1"/>
  <c r="E33" i="39" s="1"/>
  <c r="G112" i="29"/>
  <c r="G18" i="39"/>
  <c r="D58" i="29"/>
  <c r="H58" i="29" s="1"/>
  <c r="G29" i="39"/>
  <c r="D115" i="29"/>
  <c r="I115" i="29" s="1"/>
  <c r="D148" i="29"/>
  <c r="D85" i="29"/>
  <c r="I85" i="29" s="1"/>
  <c r="D132" i="29"/>
  <c r="J132" i="29" s="1"/>
  <c r="G24" i="29"/>
  <c r="D124" i="29"/>
  <c r="G115" i="29"/>
  <c r="G58" i="29"/>
  <c r="B33" i="29"/>
  <c r="E33" i="29" s="1"/>
  <c r="D29" i="39"/>
  <c r="B28" i="39"/>
  <c r="E28" i="39" s="1"/>
  <c r="G124" i="29"/>
  <c r="B77" i="29"/>
  <c r="E77" i="29" s="1"/>
  <c r="G33" i="39"/>
  <c r="B65" i="29"/>
  <c r="E65" i="29" s="1"/>
  <c r="B160" i="29"/>
  <c r="E160" i="29" s="1"/>
  <c r="B133" i="29"/>
  <c r="E133" i="29" s="1"/>
  <c r="D122" i="29"/>
  <c r="D143" i="29"/>
  <c r="J143" i="29" s="1"/>
  <c r="D18" i="39"/>
  <c r="J18" i="39" s="1"/>
  <c r="G20" i="39"/>
  <c r="B149" i="29"/>
  <c r="E149" i="29" s="1"/>
  <c r="G85" i="29"/>
  <c r="G143" i="29"/>
  <c r="D20" i="39"/>
  <c r="I20" i="39" s="1"/>
  <c r="G77" i="29"/>
  <c r="I30" i="39"/>
  <c r="B112" i="29"/>
  <c r="E112" i="29" s="1"/>
  <c r="D90" i="29"/>
  <c r="I90" i="29" s="1"/>
  <c r="G133" i="29"/>
  <c r="G122" i="29"/>
  <c r="B38" i="29"/>
  <c r="E38" i="29" s="1"/>
  <c r="G74" i="29"/>
  <c r="D35" i="29"/>
  <c r="J35" i="29" s="1"/>
  <c r="G32" i="39"/>
  <c r="D18" i="29"/>
  <c r="J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G19" i="39"/>
  <c r="D34" i="39"/>
  <c r="J34" i="39" s="1"/>
  <c r="D17" i="39"/>
  <c r="J17" i="39" s="1"/>
  <c r="D22" i="39"/>
  <c r="H22" i="39" s="1"/>
  <c r="G111" i="29"/>
  <c r="G18" i="29"/>
  <c r="B100" i="29"/>
  <c r="E100" i="29" s="1"/>
  <c r="D113" i="29"/>
  <c r="H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H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J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J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9" i="11"/>
  <c r="K90" i="11" s="1"/>
  <c r="H83" i="29"/>
  <c r="H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J148" i="29"/>
  <c r="I148" i="29"/>
  <c r="H148" i="29"/>
  <c r="H48" i="29"/>
  <c r="J48" i="29"/>
  <c r="I48" i="29"/>
  <c r="H38" i="29"/>
  <c r="J38" i="29"/>
  <c r="I38" i="29"/>
  <c r="I86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J20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I75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I155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H18" i="29"/>
  <c r="J115" i="29"/>
  <c r="I160" i="29"/>
  <c r="H160" i="29"/>
  <c r="J160" i="29"/>
  <c r="J113" i="29"/>
  <c r="I33" i="29"/>
  <c r="H33" i="29"/>
  <c r="J33" i="29"/>
  <c r="I122" i="29"/>
  <c r="H122" i="29"/>
  <c r="J122" i="29"/>
  <c r="H67" i="29"/>
  <c r="J67" i="29"/>
  <c r="I67" i="29"/>
  <c r="H68" i="29"/>
  <c r="I68" i="29"/>
  <c r="J68" i="29"/>
  <c r="H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H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H99" i="29" l="1"/>
  <c r="I162" i="29"/>
  <c r="H88" i="29"/>
  <c r="H40" i="29"/>
  <c r="H34" i="39"/>
  <c r="J85" i="29"/>
  <c r="I42" i="29"/>
  <c r="H24" i="39"/>
  <c r="H30" i="29"/>
  <c r="J99" i="29"/>
  <c r="K99" i="29" s="1"/>
  <c r="H155" i="29"/>
  <c r="I34" i="39"/>
  <c r="K34" i="39" s="1"/>
  <c r="H85" i="29"/>
  <c r="J120" i="29"/>
  <c r="J47" i="29"/>
  <c r="I58" i="29"/>
  <c r="J25" i="39"/>
  <c r="J58" i="29"/>
  <c r="H42" i="29"/>
  <c r="J151" i="29"/>
  <c r="H143" i="29"/>
  <c r="I25" i="39"/>
  <c r="I24" i="39"/>
  <c r="I40" i="29"/>
  <c r="J75" i="29"/>
  <c r="I120" i="29"/>
  <c r="K120" i="29" s="1"/>
  <c r="I88" i="29"/>
  <c r="J162" i="29"/>
  <c r="K162" i="29" s="1"/>
  <c r="H28" i="29"/>
  <c r="I17" i="39"/>
  <c r="I20" i="29"/>
  <c r="I18" i="39"/>
  <c r="K18" i="39" s="1"/>
  <c r="I132" i="29"/>
  <c r="I18" i="29"/>
  <c r="K18" i="29" s="1"/>
  <c r="H132" i="29"/>
  <c r="H115" i="29"/>
  <c r="K115" i="29" s="1"/>
  <c r="I113" i="29"/>
  <c r="J90" i="29"/>
  <c r="J57" i="29"/>
  <c r="H90" i="29"/>
  <c r="H57" i="29"/>
  <c r="J22" i="39"/>
  <c r="K22" i="39" s="1"/>
  <c r="I22" i="39"/>
  <c r="K30" i="39"/>
  <c r="J60" i="29"/>
  <c r="I27" i="29"/>
  <c r="H157" i="29"/>
  <c r="J59" i="29"/>
  <c r="J157" i="29"/>
  <c r="H59" i="29"/>
  <c r="I35" i="29"/>
  <c r="K35" i="29" s="1"/>
  <c r="J154" i="29"/>
  <c r="H60" i="29"/>
  <c r="K60" i="29" s="1"/>
  <c r="J82" i="29"/>
  <c r="H145" i="29"/>
  <c r="I159" i="29"/>
  <c r="J19" i="29"/>
  <c r="H154" i="29"/>
  <c r="H19" i="29"/>
  <c r="H81" i="29"/>
  <c r="K81" i="29" s="1"/>
  <c r="J86" i="29"/>
  <c r="K86" i="29" s="1"/>
  <c r="I151" i="29"/>
  <c r="J159" i="29"/>
  <c r="H109" i="29"/>
  <c r="H149" i="29"/>
  <c r="H17" i="39"/>
  <c r="K17" i="39" s="1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K30" i="29" s="1"/>
  <c r="H82" i="29"/>
  <c r="H47" i="29"/>
  <c r="K47" i="29" s="1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63" i="29"/>
  <c r="K112" i="29"/>
  <c r="K75" i="29"/>
  <c r="K24" i="29"/>
  <c r="K116" i="29"/>
  <c r="K122" i="29"/>
  <c r="K160" i="29"/>
  <c r="K42" i="29"/>
  <c r="K78" i="29"/>
  <c r="K107" i="29"/>
  <c r="K142" i="29"/>
  <c r="K29" i="29"/>
  <c r="K23" i="29"/>
  <c r="K150" i="29"/>
  <c r="K136" i="29"/>
  <c r="K147" i="29"/>
  <c r="K32" i="39"/>
  <c r="K38" i="29"/>
  <c r="K132" i="29"/>
  <c r="K23" i="39"/>
  <c r="K97" i="29"/>
  <c r="K100" i="29"/>
  <c r="K73" i="29"/>
  <c r="K21" i="29"/>
  <c r="K72" i="29"/>
  <c r="K124" i="29"/>
  <c r="K20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K155" i="29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88" i="29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91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25" i="39" l="1"/>
  <c r="K24" i="39"/>
  <c r="K40" i="29"/>
  <c r="K151" i="29"/>
  <c r="K58" i="29"/>
  <c r="K90" i="29"/>
  <c r="K57" i="29"/>
  <c r="I38" i="39"/>
  <c r="I39" i="39" s="1"/>
  <c r="I40" i="39" s="1"/>
  <c r="J38" i="39"/>
  <c r="J39" i="39" s="1"/>
  <c r="J40" i="39" s="1"/>
  <c r="K157" i="29"/>
  <c r="K154" i="29"/>
  <c r="K59" i="29"/>
  <c r="K27" i="29"/>
  <c r="K159" i="29"/>
  <c r="K145" i="29"/>
  <c r="K82" i="29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38" i="39" s="1"/>
  <c r="K39" i="39" s="1"/>
  <c r="K40" i="39" s="1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D12" i="54" l="1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<sst xmlns="http://schemas.openxmlformats.org/spreadsheetml/2006/main" count="4756" uniqueCount="1640">
  <si>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</si>
  <si>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</si>
  <si>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</si>
  <si>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</si>
  <si>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</si>
  <si>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</si>
  <si>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</si>
  <si>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</si>
  <si>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</si>
  <si>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</si>
  <si>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</si>
  <si>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</si>
  <si>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</si>
  <si>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</si>
  <si>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</si>
  <si>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</si>
  <si>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</si>
  <si>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</si>
  <si>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</si>
  <si>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</si>
  <si>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</si>
  <si>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</si>
  <si>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</si>
  <si>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</si>
  <si>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</si>
  <si>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</si>
  <si>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</si>
  <si>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</si>
  <si>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</si>
  <si>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</si>
  <si>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</si>
  <si>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</si>
  <si>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</si>
  <si>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</si>
  <si>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</si>
  <si>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</si>
  <si>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</si>
  <si>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</si>
  <si>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</si>
  <si>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</si>
  <si>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</si>
  <si>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</si>
  <si>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</si>
  <si>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</si>
  <si>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</si>
  <si>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</si>
  <si>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</si>
  <si>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</si>
  <si>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</si>
  <si>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</si>
  <si>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</si>
  <si>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</si>
  <si>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</si>
  <si>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</si>
  <si>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</si>
  <si>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</si>
  <si>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</si>
  <si>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</si>
  <si>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</si>
  <si>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</si>
  <si>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</si>
  <si>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</si>
  <si>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</si>
  <si>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</si>
  <si>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</si>
  <si>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</si>
  <si>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</si>
  <si>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</si>
  <si>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</si>
  <si>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</si>
  <si>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</si>
  <si>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</si>
  <si>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</si>
  <si>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</si>
  <si>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</si>
  <si>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</si>
  <si>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</si>
  <si>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</si>
  <si>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</si>
  <si>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</si>
  <si>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</si>
  <si>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</si>
  <si>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</si>
  <si>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</si>
  <si>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</si>
  <si>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</si>
  <si>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</si>
  <si>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</si>
  <si>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</si>
  <si>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</si>
  <si>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</si>
  <si>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</si>
  <si>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</si>
  <si>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</si>
  <si>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</si>
  <si>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</si>
  <si>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</si>
  <si>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</si>
  <si>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</si>
  <si>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</si>
  <si>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</si>
  <si>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</si>
  <si>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</si>
  <si>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</si>
  <si>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</si>
  <si>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</si>
  <si>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</si>
  <si>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</si>
  <si>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</si>
  <si>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</si>
  <si>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</si>
  <si>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</si>
  <si>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</si>
  <si>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</si>
  <si>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</si>
  <si>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</si>
  <si>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</si>
  <si>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</si>
  <si>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</si>
  <si>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</si>
  <si>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</si>
  <si>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</si>
  <si>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</si>
  <si>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</si>
  <si>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</si>
  <si>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</si>
  <si>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</si>
  <si>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</si>
  <si>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</si>
  <si>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</si>
  <si>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</si>
  <si>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</si>
  <si>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</si>
  <si>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</si>
  <si>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</si>
  <si>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</si>
  <si>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</si>
  <si>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</si>
  <si>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</si>
  <si>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</si>
  <si>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</si>
  <si>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</si>
  <si>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</si>
  <si>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</si>
  <si>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</si>
  <si>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</si>
  <si>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</si>
  <si>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</si>
  <si>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</si>
  <si>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</si>
  <si>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</si>
  <si>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</si>
  <si>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</si>
  <si>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</si>
  <si>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</si>
  <si>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</si>
  <si>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</si>
  <si>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</si>
  <si>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</si>
  <si>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</si>
  <si>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</si>
  <si>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</si>
  <si>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</si>
  <si>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</si>
  <si>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</si>
  <si>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</si>
  <si>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</si>
  <si>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</si>
  <si>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</si>
  <si>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</si>
  <si>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</si>
  <si>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</si>
  <si>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</si>
  <si>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</si>
  <si>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</si>
  <si>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</si>
  <si>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</si>
  <si>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</si>
  <si>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</si>
  <si>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</si>
  <si>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</si>
  <si>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</si>
  <si>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</si>
  <si>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</si>
  <si>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</si>
  <si>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</si>
  <si>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</si>
  <si>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</si>
  <si>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</si>
  <si>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</si>
  <si>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</si>
  <si>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</si>
  <si>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</si>
  <si>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</si>
  <si>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</si>
  <si>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</si>
  <si>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</si>
  <si>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</si>
  <si>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</si>
  <si>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</si>
  <si>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</si>
  <si>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</si>
  <si>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</si>
  <si>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</si>
  <si>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</si>
  <si>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</si>
  <si>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</si>
  <si>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</si>
  <si>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</si>
  <si>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</si>
  <si>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</si>
  <si>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</si>
  <si>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</si>
  <si>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</si>
  <si>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</si>
  <si>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</si>
  <si>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</si>
  <si>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</si>
  <si>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</si>
  <si>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</si>
  <si>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</si>
  <si>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</si>
  <si>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</si>
  <si>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</si>
  <si>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</si>
  <si>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</si>
  <si>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</si>
  <si>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</si>
  <si>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</si>
  <si>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</si>
  <si>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</si>
  <si>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</si>
  <si>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</si>
  <si>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</si>
  <si>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</si>
  <si>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</si>
  <si>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</si>
  <si>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</si>
  <si>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</si>
  <si>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</si>
  <si>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</si>
  <si>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</si>
  <si>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</si>
  <si>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</si>
  <si>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</si>
  <si>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</si>
  <si>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</si>
  <si>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</si>
  <si>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</si>
  <si>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</si>
  <si>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</si>
  <si>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</si>
  <si>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</si>
  <si>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</si>
  <si>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</si>
  <si>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</si>
  <si>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</si>
  <si>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</si>
  <si>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</si>
  <si>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</si>
  <si>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</si>
  <si>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</si>
  <si>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</si>
  <si>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</si>
  <si>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</si>
  <si>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</si>
  <si>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</si>
  <si>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</si>
  <si>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</si>
  <si>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</si>
  <si>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</si>
  <si>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</si>
  <si>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</si>
  <si>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</si>
  <si>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</si>
  <si>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</si>
  <si>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</si>
  <si>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</si>
  <si>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</si>
  <si>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</si>
  <si>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</si>
  <si>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</si>
  <si>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</si>
  <si>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</si>
  <si>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</si>
  <si>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</si>
  <si>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</si>
  <si>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</si>
  <si>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</si>
  <si>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</si>
  <si>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</si>
  <si>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</si>
  <si>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</si>
  <si>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</si>
  <si>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</si>
  <si>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</si>
  <si>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</si>
  <si>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</si>
  <si>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</si>
  <si>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</si>
  <si>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</si>
  <si>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</si>
  <si>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</si>
  <si>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</si>
  <si>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</si>
  <si>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</si>
  <si>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</si>
  <si>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</si>
  <si>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</si>
  <si>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</si>
  <si>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</si>
  <si>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</si>
  <si>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</si>
  <si>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</si>
  <si>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</si>
  <si>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</si>
  <si>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</si>
  <si>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</si>
  <si>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</si>
  <si>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</si>
  <si>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</si>
  <si>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</si>
  <si>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</si>
  <si>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</si>
  <si>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</si>
  <si>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</si>
  <si>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</si>
  <si>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</si>
  <si>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</si>
  <si>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</si>
  <si>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</si>
  <si>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</si>
  <si>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</si>
  <si>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</si>
  <si>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</si>
  <si>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</si>
  <si>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</si>
  <si>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</si>
  <si>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</si>
  <si>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</si>
  <si>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</si>
  <si>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</si>
  <si>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</si>
  <si>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</si>
  <si>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</si>
  <si>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</si>
  <si>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</si>
  <si>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</si>
  <si>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</si>
  <si>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</si>
  <si>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</si>
  <si>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</si>
  <si>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</si>
  <si>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</si>
  <si>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</si>
  <si>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</si>
  <si>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</si>
  <si>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</si>
  <si>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</si>
  <si>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</si>
  <si>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</si>
  <si>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</si>
  <si>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</si>
  <si>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</si>
  <si>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</si>
  <si>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</si>
  <si>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</si>
  <si>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</si>
  <si>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</si>
  <si>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</si>
  <si>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</si>
  <si>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</si>
  <si>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</si>
  <si>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</si>
  <si>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</si>
  <si>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</si>
  <si>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</si>
  <si>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</si>
  <si>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</si>
  <si>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</si>
  <si>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</si>
  <si>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</si>
  <si>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</si>
  <si>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</si>
  <si>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</si>
  <si>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</si>
  <si>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</si>
  <si>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</si>
  <si>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</si>
  <si>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</si>
  <si>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</si>
  <si>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</si>
  <si>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</si>
  <si>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</si>
  <si>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</si>
  <si>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</si>
  <si>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</si>
  <si>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</si>
  <si>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</si>
  <si>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</si>
  <si>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</si>
  <si>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</si>
  <si>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</si>
  <si>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</si>
  <si>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</si>
  <si>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</si>
  <si>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</si>
  <si>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</si>
  <si>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</si>
  <si>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</si>
  <si>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</si>
  <si>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</si>
  <si>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</si>
  <si>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</si>
  <si>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</si>
  <si>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</si>
  <si>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</si>
  <si>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</si>
  <si>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</si>
  <si>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</si>
  <si>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</si>
  <si>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</si>
  <si>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</si>
  <si>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</si>
  <si>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</si>
  <si>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</si>
  <si>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</si>
  <si>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</si>
  <si>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</si>
  <si>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</si>
  <si>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</si>
  <si>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</si>
  <si>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</si>
  <si>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</si>
  <si>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</si>
  <si>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</si>
  <si>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</si>
  <si>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</si>
  <si>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</si>
  <si>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</si>
  <si>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</si>
  <si>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</si>
  <si>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</si>
  <si>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</si>
  <si>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</si>
  <si>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</si>
  <si>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</si>
  <si>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</si>
  <si>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</si>
  <si>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</si>
  <si>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</si>
  <si>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</si>
  <si>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</si>
  <si>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</si>
  <si>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</si>
  <si>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</si>
  <si>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</si>
  <si>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</si>
  <si>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</si>
  <si>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</si>
  <si>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</si>
  <si>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</si>
  <si>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</si>
  <si>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</si>
  <si>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</si>
  <si>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</si>
  <si>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</si>
  <si>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</si>
  <si>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</si>
  <si>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</si>
  <si>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</si>
  <si>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</si>
  <si>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</si>
  <si>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</si>
  <si>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</si>
  <si>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</si>
  <si>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</si>
  <si>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</si>
  <si>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</si>
  <si>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</si>
  <si>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</si>
  <si>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</si>
  <si>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</si>
  <si>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</si>
  <si>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</si>
  <si>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</si>
  <si>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</si>
  <si>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</si>
  <si>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</si>
  <si>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</si>
  <si>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</si>
  <si>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</si>
  <si>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</si>
  <si>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</si>
  <si>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</si>
  <si>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</si>
  <si>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</si>
  <si>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</si>
  <si>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</si>
  <si>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</si>
  <si>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</si>
  <si>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</si>
  <si>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</si>
  <si>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</si>
  <si>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</si>
  <si>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</si>
  <si>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</si>
  <si>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</si>
  <si>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</si>
  <si>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</si>
  <si>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</si>
  <si>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</si>
  <si>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</si>
  <si>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</si>
  <si>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</si>
  <si>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</si>
  <si>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</si>
  <si>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</si>
  <si>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</si>
  <si>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</si>
  <si>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</si>
  <si>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</si>
  <si>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</si>
  <si>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</si>
  <si>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</si>
  <si>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</si>
  <si>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</si>
  <si>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</si>
  <si>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</si>
  <si>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</si>
  <si>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</si>
  <si>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</si>
  <si>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</si>
  <si>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</si>
  <si>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</si>
  <si>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</si>
  <si>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</si>
  <si>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</si>
  <si>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</si>
  <si>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</si>
  <si>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</si>
  <si>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</si>
  <si>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</si>
  <si>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</si>
  <si>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</si>
  <si>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</si>
  <si>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</si>
  <si>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</si>
  <si>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</si>
  <si>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</si>
  <si>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</si>
  <si>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</si>
  <si>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</si>
  <si>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</si>
  <si>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</si>
  <si>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</si>
  <si>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</si>
  <si>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</si>
  <si>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</si>
  <si>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</si>
  <si>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</si>
  <si>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</si>
  <si>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</si>
  <si>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</si>
  <si>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</si>
  <si>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</si>
  <si>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</si>
  <si>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</si>
  <si>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</si>
  <si>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</si>
  <si>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</si>
  <si>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</si>
  <si>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</si>
  <si>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</si>
  <si>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</si>
  <si>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</si>
  <si>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</si>
  <si>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</si>
  <si>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</si>
  <si>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</si>
  <si>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</si>
  <si>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</si>
  <si>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</si>
  <si>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</si>
  <si>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</si>
  <si>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</si>
  <si>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</si>
  <si>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</si>
  <si>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</si>
  <si>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</si>
  <si>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</si>
  <si>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</si>
  <si>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</si>
  <si>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</si>
  <si>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</si>
  <si>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</si>
  <si>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</si>
  <si>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</si>
  <si>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</si>
  <si>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</si>
  <si>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</si>
  <si>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</si>
  <si>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</si>
  <si>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</si>
  <si>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</si>
  <si>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</si>
  <si>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</si>
  <si>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</si>
  <si>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</si>
  <si>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</si>
  <si>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</si>
  <si>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</si>
  <si>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</si>
  <si>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</si>
  <si>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</si>
  <si>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</si>
  <si>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</si>
  <si>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</si>
  <si>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</si>
  <si>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</si>
  <si>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</si>
  <si>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</si>
  <si>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</si>
  <si>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</si>
  <si>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</si>
  <si>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</si>
  <si>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</si>
  <si>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</si>
  <si>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</si>
  <si>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</si>
  <si>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</si>
  <si>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</si>
  <si>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</si>
  <si>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</si>
  <si>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</si>
  <si>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</si>
  <si>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</si>
  <si>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</si>
  <si>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</si>
  <si>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</si>
  <si>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</si>
  <si>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</si>
  <si>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</si>
  <si>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</si>
  <si>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</si>
  <si>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</si>
  <si>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</si>
  <si>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</si>
  <si>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</si>
  <si>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</si>
  <si>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</si>
  <si>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</si>
  <si>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</si>
  <si>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</si>
  <si>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</si>
  <si>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</si>
  <si>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</si>
  <si>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</si>
  <si>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</si>
  <si>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</si>
  <si>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</si>
  <si>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</si>
  <si>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</si>
  <si>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</si>
  <si>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</si>
  <si>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</si>
  <si>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</si>
  <si>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</si>
  <si>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</si>
  <si>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</si>
  <si>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</si>
  <si>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</si>
  <si>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</si>
  <si>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</si>
  <si>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</si>
  <si>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</si>
  <si>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</si>
  <si>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</si>
  <si>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</si>
  <si>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</si>
  <si>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</si>
  <si>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</si>
  <si>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</si>
  <si>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</si>
  <si>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</si>
  <si>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</si>
  <si>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</si>
  <si>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</si>
  <si>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</si>
  <si>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</si>
  <si>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</si>
  <si>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</si>
  <si>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</si>
  <si>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</si>
  <si>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</si>
  <si>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</si>
  <si>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</si>
  <si>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</si>
  <si>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</si>
  <si>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</si>
  <si>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</si>
  <si>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</si>
  <si>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</si>
  <si>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</si>
  <si>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</si>
  <si>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</si>
  <si>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</si>
  <si>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</si>
  <si>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</si>
  <si>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</si>
  <si>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</si>
  <si>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</si>
  <si>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</si>
  <si>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</si>
  <si>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</si>
  <si>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</si>
  <si>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</si>
  <si>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</si>
  <si>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</si>
  <si>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</si>
  <si>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</si>
  <si>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</si>
  <si>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</si>
  <si>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</si>
  <si>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</si>
  <si>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</si>
  <si>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</si>
  <si>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</si>
  <si>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</si>
  <si>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</si>
  <si>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</si>
  <si>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</si>
  <si>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</si>
  <si>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</si>
  <si>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</si>
  <si>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</si>
  <si>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</si>
  <si>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</si>
  <si>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</si>
  <si>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</si>
  <si>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</si>
  <si>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</si>
  <si>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</si>
  <si>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</si>
  <si>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</si>
  <si>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</si>
  <si>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</si>
  <si>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</si>
  <si>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</si>
  <si>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</si>
  <si>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</si>
  <si>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</si>
  <si>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</si>
  <si>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</si>
  <si>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</si>
  <si>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</si>
  <si>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</si>
  <si>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</si>
  <si>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</si>
  <si>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</si>
  <si>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</si>
  <si>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</si>
  <si>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</si>
  <si>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</si>
  <si>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</si>
  <si>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</si>
  <si>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</si>
  <si>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</si>
  <si>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</si>
  <si>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</si>
  <si>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</si>
  <si>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</si>
  <si>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</si>
  <si>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</si>
  <si>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</si>
  <si>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</si>
  <si>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</si>
  <si>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</si>
  <si>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</si>
  <si>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</si>
  <si>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</si>
  <si>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</si>
  <si>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</si>
  <si>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</si>
  <si>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</si>
  <si>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</si>
  <si>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</si>
  <si>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</si>
  <si>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</si>
  <si>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</si>
  <si>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</si>
  <si>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</si>
  <si>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</si>
  <si>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</si>
  <si>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</si>
  <si>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</si>
  <si>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</si>
  <si>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</si>
  <si>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</si>
  <si>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</si>
  <si>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</si>
  <si>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</si>
  <si>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</si>
  <si>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</si>
  <si>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</si>
  <si>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</si>
  <si>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</si>
  <si>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</si>
  <si>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</si>
  <si>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</si>
  <si>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</si>
  <si>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</si>
  <si>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</si>
  <si>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</si>
  <si>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</si>
  <si>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</si>
  <si>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</si>
  <si>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</si>
  <si>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</si>
  <si>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</si>
  <si>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</si>
  <si>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</si>
  <si>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</si>
  <si>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</si>
  <si>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</si>
  <si>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</si>
  <si>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</si>
  <si>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</si>
  <si>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</si>
  <si>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</si>
  <si>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</si>
  <si>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</si>
  <si>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</si>
  <si>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</si>
  <si>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</si>
  <si>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</si>
  <si>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</si>
  <si>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</si>
  <si>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</si>
  <si>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</si>
  <si>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</si>
  <si>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</si>
  <si>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</si>
  <si>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</si>
  <si>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</si>
  <si>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</si>
  <si>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</si>
  <si>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</si>
  <si>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</si>
  <si>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</si>
  <si>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</si>
  <si>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</si>
  <si>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</si>
  <si>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</si>
  <si>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</si>
  <si>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</si>
  <si>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</si>
  <si>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</si>
  <si>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</si>
  <si>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</si>
  <si>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</si>
  <si>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</si>
  <si>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</si>
  <si>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</si>
  <si>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</si>
  <si>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</si>
  <si>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</si>
  <si>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</si>
  <si>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</si>
  <si>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</si>
  <si>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</si>
  <si>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</si>
  <si>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</si>
  <si>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</si>
  <si>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</si>
  <si>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</si>
  <si>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</si>
  <si>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</si>
  <si>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</si>
  <si>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</si>
  <si>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</si>
  <si>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</si>
  <si>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</si>
  <si>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</si>
  <si>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</si>
  <si>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</si>
  <si>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</si>
  <si>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</si>
  <si>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</si>
  <si>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</si>
  <si>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</si>
  <si>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</si>
  <si>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</si>
  <si>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</si>
  <si>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</si>
  <si>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</si>
  <si>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</si>
  <si>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</si>
  <si>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</si>
  <si>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</si>
  <si>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</si>
  <si>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</si>
  <si>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</si>
  <si>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</si>
  <si>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</si>
  <si>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</si>
  <si>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</si>
  <si>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</si>
  <si>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</si>
  <si>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</si>
  <si>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</si>
  <si>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</si>
  <si>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</si>
  <si>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</si>
  <si>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</si>
  <si>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</si>
  <si>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</si>
  <si>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</si>
  <si>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</si>
  <si>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</si>
  <si>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</si>
  <si>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</si>
  <si>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</si>
  <si>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</si>
  <si>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</si>
  <si>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</si>
  <si>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</si>
  <si>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</si>
  <si>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</si>
  <si>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</si>
  <si>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</si>
  <si>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</si>
  <si>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</si>
  <si>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</si>
  <si>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</si>
  <si>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</si>
  <si>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</si>
  <si>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</si>
  <si>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</si>
  <si>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</si>
  <si>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</si>
  <si>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</si>
  <si>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</si>
  <si>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</si>
  <si>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</si>
  <si>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</si>
  <si>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</si>
  <si>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</si>
  <si>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</si>
  <si>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</si>
  <si>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</si>
  <si>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</si>
  <si>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</si>
  <si>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</si>
  <si>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</si>
  <si>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</si>
  <si>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</si>
  <si>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</si>
  <si>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</si>
  <si>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</si>
  <si>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</si>
  <si>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</si>
  <si>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</si>
  <si>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</si>
  <si>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</si>
  <si>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</si>
  <si>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</si>
  <si>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</si>
  <si>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</si>
  <si>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</si>
  <si>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</si>
  <si>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</si>
  <si>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</si>
  <si>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</si>
  <si>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</si>
  <si>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</si>
  <si>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</si>
  <si>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</si>
  <si>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</si>
  <si>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</si>
  <si>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</si>
  <si>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</si>
  <si>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</si>
  <si>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</si>
  <si>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</si>
  <si>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</si>
  <si>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</si>
  <si>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</si>
  <si>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</si>
  <si>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</si>
  <si>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</si>
  <si>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</si>
  <si>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</si>
  <si>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</si>
  <si>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</si>
  <si>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</si>
  <si>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</si>
  <si>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</si>
  <si>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</si>
  <si>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</si>
  <si>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</si>
  <si>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</si>
  <si>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</si>
  <si>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</si>
  <si>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</si>
  <si>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</si>
  <si>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</si>
  <si>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</si>
  <si>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</si>
  <si>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</si>
  <si>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</si>
  <si>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</si>
  <si>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</si>
  <si>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</si>
  <si>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</si>
  <si>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</si>
  <si>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</si>
  <si>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</si>
  <si>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</si>
  <si>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</si>
  <si>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</si>
  <si>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</si>
  <si>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</si>
  <si>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</si>
  <si>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</si>
  <si>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</si>
  <si>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</si>
  <si>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</si>
  <si>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</si>
  <si>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</si>
  <si>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</si>
  <si>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</si>
  <si>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</si>
  <si>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</si>
  <si>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</si>
  <si>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</si>
  <si>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</si>
  <si>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</si>
  <si>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</si>
  <si>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</si>
  <si>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</si>
  <si>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</si>
  <si>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</si>
  <si>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</si>
  <si>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</si>
  <si>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</si>
  <si>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</si>
  <si>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</si>
  <si>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</si>
  <si>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</si>
  <si>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</si>
  <si>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</si>
  <si>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</si>
  <si>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</si>
  <si>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</si>
  <si>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</si>
  <si>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</si>
  <si>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</si>
  <si>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</si>
  <si>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</si>
  <si>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</si>
  <si>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</si>
  <si>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</si>
  <si>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</si>
  <si>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</si>
  <si>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</si>
  <si>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</si>
  <si>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</si>
  <si>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</si>
  <si>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</si>
  <si>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</si>
  <si>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</si>
  <si>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</si>
  <si>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</si>
  <si>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</si>
  <si>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</si>
  <si>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</si>
  <si>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</si>
  <si>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</si>
  <si>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</si>
  <si>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</si>
  <si>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</si>
  <si>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</si>
  <si>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</si>
  <si>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</si>
  <si>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</si>
  <si>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</si>
  <si>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</si>
  <si>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</si>
  <si>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</si>
  <si>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</si>
  <si>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</si>
  <si>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</si>
  <si>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</si>
  <si>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</si>
  <si>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</si>
  <si>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</si>
  <si>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</si>
  <si>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</si>
  <si>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</si>
  <si>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</si>
  <si>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</si>
  <si>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</si>
  <si>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</si>
  <si>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</si>
  <si>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</si>
  <si>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</si>
  <si>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</si>
  <si>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</si>
  <si>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</si>
  <si>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</si>
  <si>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</si>
  <si>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</si>
  <si>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</si>
  <si>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</si>
  <si>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</si>
  <si>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</si>
  <si>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</si>
  <si>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</si>
  <si>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</si>
  <si>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</si>
  <si>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</si>
  <si>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</si>
  <si>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</si>
  <si>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</si>
  <si>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</si>
  <si>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</si>
  <si>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</si>
  <si>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</si>
  <si>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</si>
  <si>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</si>
  <si>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</si>
  <si>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</si>
  <si>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</si>
  <si>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</si>
  <si>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</si>
  <si>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</si>
  <si>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</si>
  <si>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</si>
  <si>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</si>
  <si>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</si>
  <si>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</si>
  <si>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</si>
  <si>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</si>
  <si>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</si>
  <si>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</si>
  <si>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</si>
  <si>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</si>
  <si>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</si>
  <si>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</si>
  <si>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</si>
  <si>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</si>
  <si>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</si>
  <si>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</si>
  <si>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</si>
  <si>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</si>
  <si>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</si>
  <si>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</si>
  <si>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</si>
  <si>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</si>
  <si>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</si>
  <si>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</si>
  <si>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</si>
  <si>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</si>
  <si>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</si>
  <si>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</si>
  <si>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</si>
  <si>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</si>
  <si>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</si>
  <si>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</si>
  <si>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</si>
  <si>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</si>
  <si>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</si>
  <si>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</si>
  <si>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</si>
  <si>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</si>
  <si>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</si>
  <si>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</si>
  <si>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</si>
  <si>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</si>
  <si>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</si>
  <si>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</si>
  <si>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</si>
  <si>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</si>
  <si>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</si>
  <si>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</si>
  <si>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</si>
  <si>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</si>
  <si>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</si>
  <si>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</si>
  <si>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</si>
  <si>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</si>
  <si>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</si>
  <si>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</si>
  <si>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</si>
  <si>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</si>
  <si>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</si>
  <si>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</si>
  <si>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</si>
  <si>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</si>
  <si>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</si>
  <si>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</si>
  <si>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</si>
  <si>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</si>
  <si>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</si>
  <si>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</si>
  <si>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</si>
  <si>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</si>
  <si>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</si>
  <si>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</si>
  <si>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</si>
  <si>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</si>
  <si>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</si>
  <si>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</si>
  <si>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</si>
  <si>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</si>
  <si>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</si>
  <si>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</si>
  <si>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</si>
  <si>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</si>
  <si>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</si>
  <si>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</si>
  <si>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</si>
  <si>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</si>
  <si>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</si>
  <si>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</si>
  <si>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</si>
  <si>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</si>
  <si>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</si>
  <si>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</si>
  <si>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</si>
  <si>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</si>
  <si>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</si>
  <si>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</si>
  <si>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</si>
  <si>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</si>
  <si>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</si>
  <si>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</si>
  <si>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</si>
  <si>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</si>
  <si>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</si>
  <si>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</si>
  <si>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</si>
  <si>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</si>
  <si>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</si>
  <si>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</si>
  <si>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</si>
  <si>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</si>
  <si>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</si>
  <si>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</si>
  <si>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</si>
  <si>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</si>
  <si>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</si>
  <si>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</si>
  <si>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</si>
  <si>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</si>
  <si>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</si>
  <si>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</si>
  <si>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</si>
  <si>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</si>
  <si>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</si>
  <si>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</si>
  <si>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</si>
  <si>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</si>
  <si>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</si>
  <si>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</si>
  <si>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</si>
  <si>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</si>
  <si>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</si>
  <si>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</si>
  <si>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</si>
  <si>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</si>
  <si>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</si>
  <si>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</si>
  <si>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</si>
  <si>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</si>
  <si>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</si>
  <si>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</si>
  <si>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</si>
  <si>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</si>
  <si>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</si>
  <si>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</si>
  <si>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</si>
  <si>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</si>
  <si>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</si>
  <si>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</si>
  <si>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</si>
  <si>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</si>
  <si>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</si>
  <si>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</si>
  <si>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</si>
  <si>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</si>
  <si>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</si>
  <si>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</si>
  <si>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</si>
  <si>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</si>
  <si>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</si>
  <si>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</si>
  <si>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</si>
  <si>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</si>
  <si>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</si>
  <si>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</si>
  <si>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</si>
  <si>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</si>
  <si>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</si>
  <si>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</si>
  <si>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</si>
  <si>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</si>
  <si>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</si>
  <si>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</si>
  <si>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</si>
  <si>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</si>
  <si>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</si>
  <si>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</si>
  <si>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</si>
  <si>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</si>
  <si>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</si>
  <si>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</si>
  <si>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</si>
  <si>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</si>
  <si>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</si>
  <si>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</si>
  <si>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</si>
  <si>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</si>
  <si>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</si>
  <si>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</si>
  <si>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</si>
  <si>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</si>
  <si>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</si>
  <si>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</si>
  <si>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</si>
  <si>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</si>
  <si>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</si>
  <si>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</si>
  <si>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</si>
  <si>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</si>
  <si>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</si>
  <si>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</si>
  <si>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</si>
  <si>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</si>
  <si>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</si>
  <si>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</si>
  <si>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</si>
  <si>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</si>
  <si>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</si>
  <si>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</si>
  <si>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</si>
  <si>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</si>
  <si>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</si>
  <si>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</si>
  <si>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</si>
  <si>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</si>
  <si>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</si>
  <si>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</si>
  <si>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</si>
  <si>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</si>
  <si>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</si>
  <si>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</si>
  <si>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</si>
  <si>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</si>
  <si>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</si>
  <si>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</si>
  <si>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</si>
  <si>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</si>
  <si>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</si>
  <si>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</si>
  <si>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</si>
  <si>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</si>
  <si>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</si>
  <si>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</si>
  <si>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</si>
  <si>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</si>
  <si>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</si>
  <si>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</si>
  <si>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</si>
  <si>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</si>
  <si>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</si>
  <si>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</si>
  <si>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</si>
  <si>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</si>
  <si>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</si>
  <si>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</si>
  <si>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</si>
  <si>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</si>
  <si>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</si>
  <si>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</si>
  <si>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</si>
  <si>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</si>
  <si>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</si>
  <si>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</si>
  <si>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</si>
  <si>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</si>
  <si>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</si>
  <si>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</si>
  <si>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</si>
  <si>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</si>
  <si>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</si>
  <si>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</si>
  <si>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</si>
  <si>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</si>
  <si>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</si>
  <si>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</si>
  <si>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</si>
  <si>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</si>
  <si>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</si>
  <si>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</si>
  <si>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</si>
  <si>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</si>
  <si>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</si>
  <si>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</si>
  <si>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</si>
  <si>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</si>
  <si>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</si>
  <si>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</si>
  <si>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</si>
  <si>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</si>
  <si>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</si>
  <si>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</si>
  <si>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</si>
  <si>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</si>
  <si>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</si>
  <si>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</si>
  <si>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</si>
  <si>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</si>
  <si>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</si>
  <si>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</si>
  <si>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</si>
  <si>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</si>
  <si>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</si>
  <si>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</si>
  <si>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</si>
  <si>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</si>
  <si>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</si>
  <si>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</si>
  <si>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</si>
  <si>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</si>
  <si>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</si>
  <si>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</si>
  <si>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</si>
  <si>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</si>
  <si>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</si>
  <si>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</si>
  <si>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</si>
  <si>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</si>
  <si>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</si>
  <si>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</si>
  <si>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</si>
  <si>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</si>
  <si>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</si>
  <si>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</si>
  <si>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</si>
  <si>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</si>
  <si>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</si>
  <si>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</si>
  <si>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</si>
  <si>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</si>
  <si>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</si>
  <si>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</si>
  <si>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</si>
  <si>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</si>
  <si>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</si>
  <si>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</si>
  <si>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</si>
  <si>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</si>
  <si>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</si>
  <si>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</si>
  <si>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</si>
  <si>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</si>
  <si>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</si>
  <si>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</si>
  <si>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</si>
  <si>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</si>
  <si>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</si>
  <si>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</si>
  <si>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</si>
  <si>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</si>
  <si>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</si>
  <si>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</si>
  <si>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</si>
  <si>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</si>
  <si>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</si>
  <si>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</si>
  <si>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</si>
  <si>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</si>
  <si>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</si>
  <si>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</si>
  <si>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</si>
  <si>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</si>
  <si>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</si>
  <si>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</si>
  <si>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</si>
  <si>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</si>
  <si>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</si>
  <si>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</si>
  <si>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</si>
  <si>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</si>
  <si>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</si>
  <si>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</si>
  <si>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</si>
  <si>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</si>
  <si>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</si>
  <si>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</si>
  <si>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</si>
  <si>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</si>
  <si>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</si>
  <si>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</si>
  <si>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</si>
  <si>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</si>
  <si>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</si>
  <si>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</si>
  <si>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</si>
  <si>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</si>
  <si>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</si>
  <si>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</si>
  <si>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</si>
  <si>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</si>
  <si>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</si>
  <si>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</si>
  <si>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</si>
  <si>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</si>
  <si>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</si>
  <si>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</si>
  <si>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</si>
  <si>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</si>
  <si>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</si>
  <si>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</si>
  <si>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</si>
  <si>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</si>
  <si>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</si>
  <si>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</si>
  <si>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</si>
  <si>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</si>
  <si>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</si>
  <si>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</si>
  <si>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</si>
  <si>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</si>
  <si>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</si>
  <si>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</si>
  <si>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</si>
  <si>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</si>
  <si>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</si>
  <si>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</si>
  <si>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</si>
  <si>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</si>
  <si>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</si>
  <si>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</si>
  <si>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</si>
  <si>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</si>
  <si>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</si>
  <si>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</si>
  <si>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</si>
  <si>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</si>
  <si>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</si>
  <si>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</si>
  <si>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</si>
  <si>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</si>
  <si>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</si>
  <si>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</si>
  <si>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</si>
  <si>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</si>
  <si>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</si>
  <si>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</si>
  <si>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</si>
  <si>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</si>
  <si>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</si>
  <si>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</si>
  <si>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</si>
  <si>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</si>
  <si>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</si>
  <si>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</si>
  <si>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</si>
  <si>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</si>
  <si>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</si>
  <si>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</si>
  <si>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</si>
  <si>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</si>
  <si>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</si>
  <si>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</si>
  <si>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</si>
  <si>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</si>
  <si>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</si>
  <si>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</si>
  <si>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</si>
  <si>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</si>
  <si>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</si>
  <si>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</si>
  <si>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</si>
  <si>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</si>
  <si>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</si>
  <si>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</si>
  <si>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</si>
  <si>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</si>
  <si>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</si>
  <si>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</si>
  <si>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</si>
  <si>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</si>
  <si>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</si>
  <si>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</si>
  <si>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</si>
  <si>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</si>
  <si>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</si>
  <si>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</si>
  <si>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</si>
  <si>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</si>
  <si>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</si>
  <si>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</si>
  <si>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</si>
  <si>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</si>
  <si>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</si>
  <si>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</si>
  <si>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</si>
  <si>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</si>
  <si>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CM2-12</t>
  </si>
  <si>
    <t>CJ6-T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</si>
  <si>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</si>
  <si>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</si>
  <si>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</si>
  <si>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</si>
  <si>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</si>
  <si>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m</t>
  </si>
  <si>
    <t>CM2-11</t>
  </si>
  <si>
    <t>BTG</t>
  </si>
  <si>
    <t xml:space="preserve">PETA LOKASI </t>
  </si>
  <si>
    <t xml:space="preserve">SINGLE LINE DIAGRAM LOKASI </t>
  </si>
  <si>
    <t>Manager</t>
  </si>
  <si>
    <t>Man. Perencanaan</t>
  </si>
  <si>
    <t>Spv. Rensis</t>
  </si>
  <si>
    <t>-7.038877, 110.727011</t>
  </si>
  <si>
    <t>C9-200</t>
  </si>
  <si>
    <t>CJ5-T</t>
  </si>
  <si>
    <t>NFA 2X, 3X70 N50</t>
  </si>
  <si>
    <t>SR APP 900 VA</t>
  </si>
  <si>
    <r>
      <rPr>
        <sz val="9"/>
        <rFont val="Calibri"/>
        <family val="2"/>
        <scheme val="minor"/>
      </rPr>
      <t>Keterangan Tambahan : '-7.038877, 110.727011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https://goo.gl/maps/XzhqUEXqS8sK7qK37</t>
    </r>
  </si>
  <si>
    <t>PB KOS GODONG 15X1300 VA</t>
  </si>
  <si>
    <t>Daya 900 VA</t>
  </si>
  <si>
    <t>PB Daya 16X900 VA WALUYO KOS GODONG</t>
  </si>
  <si>
    <t>DSN BULU RT 2 RW 4 DS HARJOWINANGUN KEC GODONG</t>
  </si>
  <si>
    <t>R1</t>
  </si>
  <si>
    <t>K2-621/362/3A</t>
  </si>
  <si>
    <t>PWI10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</si>
</sst>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theme="1"/>
      <name val="Calibri"/>
      <family val="2"/>
    </font>
    <font>
      <sz val="9"/>
      <color rgb="FF1A73E8"/>
      <name val="Roboto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4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0" xfId="2670" applyFont="1" applyFill="1" applyBorder="1" applyAlignment="1">
      <alignment horizontal="left" vertical="center"/>
    </xf>
    <xf numFmtId="0" fontId="154" fillId="39" borderId="71" xfId="2670" applyFont="1" applyFill="1" applyBorder="1" applyAlignment="1">
      <alignment horizontal="center" vertical="center"/>
    </xf>
    <xf numFmtId="0" fontId="154" fillId="39" borderId="73" xfId="2670" applyFont="1" applyFill="1" applyBorder="1" applyAlignment="1">
      <alignment horizontal="left" vertical="center"/>
    </xf>
    <xf numFmtId="0" fontId="154" fillId="39" borderId="69" xfId="2670" applyFont="1" applyFill="1" applyBorder="1" applyAlignment="1">
      <alignment horizontal="center" vertical="center"/>
    </xf>
    <xf numFmtId="0" fontId="154" fillId="39" borderId="75" xfId="2670" applyFont="1" applyFill="1" applyBorder="1" applyAlignment="1">
      <alignment horizontal="left" vertical="center"/>
    </xf>
    <xf numFmtId="0" fontId="154" fillId="39" borderId="76" xfId="2670" applyFont="1" applyFill="1" applyBorder="1" applyAlignment="1">
      <alignment horizontal="center" vertical="center"/>
    </xf>
    <xf numFmtId="167" fontId="136" fillId="40" borderId="72" xfId="2672" applyFont="1" applyFill="1" applyBorder="1" applyAlignment="1" applyProtection="1">
      <alignment horizontal="right" vertical="center" wrapText="1"/>
      <protection locked="0"/>
    </xf>
    <xf numFmtId="167" fontId="136" fillId="40" borderId="74" xfId="2672" applyFont="1" applyFill="1" applyBorder="1" applyAlignment="1" applyProtection="1">
      <alignment horizontal="right" vertical="center"/>
      <protection locked="0"/>
    </xf>
    <xf numFmtId="169" fontId="136" fillId="40" borderId="74" xfId="2672" applyNumberFormat="1" applyFont="1" applyFill="1" applyBorder="1" applyAlignment="1" applyProtection="1">
      <alignment horizontal="right" vertical="center"/>
      <protection locked="0"/>
    </xf>
    <xf numFmtId="169" fontId="136" fillId="40" borderId="77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1" xfId="2673" applyFont="1" applyFill="1" applyBorder="1" applyAlignment="1">
      <alignment vertical="center" wrapText="1"/>
    </xf>
    <xf numFmtId="0" fontId="142" fillId="43" borderId="81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5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5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1" fillId="0" borderId="20" xfId="1652" applyFont="1" applyBorder="1" applyAlignment="1">
      <alignment horizontal="center" vertical="center"/>
    </xf>
    <xf numFmtId="0" fontId="41" fillId="0" borderId="21" xfId="1652" applyFont="1" applyBorder="1" applyAlignment="1">
      <alignment vertical="center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41" fillId="0" borderId="21" xfId="1450" applyFont="1" applyBorder="1" applyAlignment="1">
      <alignment vertical="center" wrapText="1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3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2" xfId="2673" applyNumberFormat="1" applyFont="1" applyFill="1" applyBorder="1" applyAlignment="1">
      <alignment horizontal="center" vertical="center" wrapText="1"/>
    </xf>
    <xf numFmtId="0" fontId="157" fillId="41" borderId="78" xfId="2673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8" xfId="2673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2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68" fillId="0" borderId="87" xfId="1451" applyFont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19" fillId="33" borderId="87" xfId="1451" applyFont="1" applyFill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2" fillId="33" borderId="0" xfId="1450" applyFont="1" applyFill="1" applyAlignment="1">
      <alignment horizontal="center"/>
    </xf>
    <xf numFmtId="0" fontId="112" fillId="33" borderId="26" xfId="1450" applyFont="1" applyFill="1" applyBorder="1" applyAlignment="1">
      <alignment horizontal="center"/>
    </xf>
    <xf numFmtId="0" fontId="112" fillId="33" borderId="36" xfId="1450" applyFont="1" applyFill="1" applyBorder="1" applyAlignment="1">
      <alignment horizontal="center"/>
    </xf>
    <xf numFmtId="0" fontId="127" fillId="35" borderId="55" xfId="1450" applyFont="1" applyFill="1" applyBorder="1" applyAlignment="1">
      <alignment horizontal="center" vertical="center"/>
    </xf>
    <xf numFmtId="0" fontId="127" fillId="35" borderId="36" xfId="1450" applyFont="1" applyFill="1" applyBorder="1" applyAlignment="1">
      <alignment horizontal="center" vertical="center"/>
    </xf>
    <xf numFmtId="0" fontId="127" fillId="35" borderId="48" xfId="1450" applyFont="1" applyFill="1" applyBorder="1" applyAlignment="1">
      <alignment horizontal="center" vertical="center"/>
    </xf>
    <xf numFmtId="0" fontId="171" fillId="0" borderId="0" xfId="0" quotePrefix="1" applyFont="1"/>
    <xf numFmtId="0" fontId="127" fillId="35" borderId="43" xfId="1450" applyFont="1" applyFill="1" applyBorder="1" applyAlignment="1">
      <alignment horizontal="center" vertical="center"/>
    </xf>
    <xf numFmtId="0" fontId="127" fillId="35" borderId="44" xfId="1450" applyFont="1" applyFill="1" applyBorder="1" applyAlignment="1">
      <alignment horizontal="center" vertical="center"/>
    </xf>
    <xf numFmtId="0" fontId="127" fillId="35" borderId="45" xfId="1450" applyFont="1" applyFill="1" applyBorder="1" applyAlignment="1">
      <alignment horizontal="center" vertical="center"/>
    </xf>
    <xf numFmtId="0" fontId="112" fillId="33" borderId="28" xfId="1450" applyFont="1" applyFill="1" applyBorder="1" applyAlignment="1">
      <alignment horizontal="center"/>
    </xf>
    <xf numFmtId="0" fontId="113" fillId="33" borderId="18" xfId="1450" applyFont="1" applyFill="1" applyBorder="1" applyAlignment="1">
      <alignment horizontal="left"/>
    </xf>
    <xf numFmtId="0" fontId="112" fillId="33" borderId="37" xfId="1450" applyFont="1" applyFill="1" applyBorder="1" applyAlignment="1">
      <alignment horizontal="center"/>
    </xf>
    <xf numFmtId="0" fontId="112" fillId="33" borderId="3" xfId="1450" applyFont="1" applyFill="1" applyBorder="1" applyAlignment="1">
      <alignment horizontal="center"/>
    </xf>
    <xf numFmtId="0" fontId="112" fillId="33" borderId="3" xfId="1450" applyFont="1" applyFill="1" applyBorder="1" applyAlignment="1">
      <alignment horizontal="center"/>
    </xf>
    <xf numFmtId="0" fontId="112" fillId="33" borderId="39" xfId="1450" applyFont="1" applyFill="1" applyBorder="1" applyAlignment="1">
      <alignment horizontal="center"/>
    </xf>
    <xf numFmtId="0" fontId="132" fillId="33" borderId="0" xfId="1450" applyFont="1" applyFill="1" applyAlignment="1">
      <alignment horizontal="center"/>
    </xf>
    <xf numFmtId="0" fontId="114" fillId="33" borderId="28" xfId="1450" applyFont="1" applyFill="1" applyBorder="1" applyAlignment="1">
      <alignment horizontal="center"/>
    </xf>
    <xf numFmtId="0" fontId="114" fillId="33" borderId="0" xfId="1450" applyFont="1" applyFill="1" applyAlignment="1">
      <alignment horizontal="center"/>
    </xf>
    <xf numFmtId="0" fontId="112" fillId="33" borderId="38" xfId="1450" applyFont="1" applyFill="1" applyBorder="1" applyAlignment="1">
      <alignment horizontal="center"/>
    </xf>
    <xf numFmtId="0" fontId="112" fillId="33" borderId="56" xfId="1450" applyFont="1" applyFill="1" applyBorder="1" applyAlignment="1">
      <alignment horizontal="center"/>
    </xf>
    <xf numFmtId="0" fontId="112" fillId="33" borderId="57" xfId="1450" applyFont="1" applyFill="1" applyBorder="1" applyAlignment="1">
      <alignment horizontal="center"/>
    </xf>
    <xf numFmtId="0" fontId="113" fillId="33" borderId="0" xfId="1450" applyFont="1" applyFill="1" applyAlignment="1">
      <alignment horizontal="left"/>
    </xf>
    <xf numFmtId="0" fontId="113" fillId="33" borderId="18" xfId="1450" applyFont="1" applyFill="1" applyBorder="1" applyAlignment="1">
      <alignment horizontal="left"/>
    </xf>
    <xf numFmtId="0" fontId="113" fillId="33" borderId="0" xfId="1450" applyFont="1" applyFill="1" applyAlignment="1">
      <alignment horizontal="left"/>
    </xf>
    <xf numFmtId="0" fontId="113" fillId="33" borderId="37" xfId="1450" applyFont="1" applyFill="1" applyBorder="1" applyAlignment="1">
      <alignment horizontal="left"/>
    </xf>
    <xf numFmtId="0" fontId="128" fillId="33" borderId="50" xfId="1450" applyFont="1" applyFill="1" applyBorder="1" applyAlignment="1">
      <alignment horizontal="center" vertical="center"/>
    </xf>
    <xf numFmtId="0" fontId="128" fillId="33" borderId="7" xfId="1450" applyFont="1" applyFill="1" applyBorder="1" applyAlignment="1">
      <alignment horizontal="center" vertical="center"/>
    </xf>
    <xf numFmtId="0" fontId="128" fillId="33" borderId="41" xfId="1450" applyFont="1" applyFill="1" applyBorder="1" applyAlignment="1">
      <alignment horizontal="center" vertical="center"/>
    </xf>
    <xf numFmtId="0" fontId="113" fillId="33" borderId="50" xfId="1450" applyFont="1" applyFill="1" applyBorder="1" applyAlignment="1">
      <alignment horizontal="center" vertical="center"/>
    </xf>
    <xf numFmtId="0" fontId="113" fillId="33" borderId="7" xfId="1450" applyFont="1" applyFill="1" applyBorder="1" applyAlignment="1">
      <alignment horizontal="center" vertical="center"/>
    </xf>
    <xf numFmtId="0" fontId="113" fillId="33" borderId="58" xfId="1450" applyFont="1" applyFill="1" applyBorder="1" applyAlignment="1">
      <alignment horizontal="center" vertical="center"/>
    </xf>
    <xf numFmtId="0" fontId="113" fillId="33" borderId="0" xfId="1450" applyFont="1" applyFill="1" applyAlignment="1">
      <alignment horizontal="center"/>
    </xf>
    <xf numFmtId="49" fontId="89" fillId="33" borderId="94" xfId="1450" applyNumberFormat="1" applyFont="1" applyFill="1" applyBorder="1" applyAlignment="1">
      <alignment horizontal="left" vertical="center"/>
    </xf>
    <xf numFmtId="49" fontId="89" fillId="33" borderId="40" xfId="1450" applyNumberFormat="1" applyFont="1" applyFill="1" applyBorder="1" applyAlignment="1">
      <alignment horizontal="left" vertical="center"/>
    </xf>
    <xf numFmtId="0" fontId="89" fillId="33" borderId="40" xfId="1450" applyFont="1" applyFill="1" applyBorder="1" applyAlignment="1">
      <alignment horizontal="center" vertical="center"/>
    </xf>
    <xf numFmtId="0" fontId="89" fillId="33" borderId="47" xfId="1450" applyFont="1" applyFill="1" applyBorder="1" applyAlignment="1">
      <alignment horizontal="center" vertical="center"/>
    </xf>
    <xf numFmtId="49" fontId="170" fillId="33" borderId="94" xfId="1450" applyNumberFormat="1" applyFont="1" applyFill="1" applyBorder="1" applyAlignment="1">
      <alignment horizontal="left" vertical="center"/>
    </xf>
    <xf numFmtId="49" fontId="170" fillId="33" borderId="40" xfId="1450" applyNumberFormat="1" applyFont="1" applyFill="1" applyBorder="1" applyAlignment="1">
      <alignment horizontal="left" vertical="center"/>
    </xf>
    <xf numFmtId="0" fontId="112" fillId="33" borderId="3" xfId="1450" applyFont="1" applyFill="1" applyBorder="1" applyAlignment="1">
      <alignment horizontal="center" vertical="center"/>
    </xf>
    <xf numFmtId="0" fontId="112" fillId="33" borderId="39" xfId="1450" applyFont="1" applyFill="1" applyBorder="1" applyAlignment="1">
      <alignment horizontal="center" vertical="center"/>
    </xf>
    <xf numFmtId="49" fontId="89" fillId="33" borderId="0" xfId="1450" applyNumberFormat="1" applyFont="1" applyFill="1" applyAlignment="1">
      <alignment horizontal="left" vertical="center"/>
    </xf>
    <xf numFmtId="0" fontId="89" fillId="33" borderId="0" xfId="1450" applyFont="1" applyFill="1" applyAlignment="1">
      <alignment horizontal="center" vertical="center"/>
    </xf>
    <xf numFmtId="49" fontId="112" fillId="33" borderId="50" xfId="1450" applyNumberFormat="1" applyFont="1" applyFill="1" applyBorder="1" applyAlignment="1">
      <alignment horizontal="left" vertical="center"/>
    </xf>
    <xf numFmtId="49" fontId="112" fillId="33" borderId="41" xfId="1450" applyNumberFormat="1" applyFont="1" applyFill="1" applyBorder="1" applyAlignment="1">
      <alignment horizontal="left" vertical="center"/>
    </xf>
    <xf numFmtId="0" fontId="170" fillId="33" borderId="59" xfId="1450" applyFont="1" applyFill="1" applyBorder="1" applyAlignment="1">
      <alignment horizontal="left" vertical="center"/>
    </xf>
    <xf numFmtId="0" fontId="170" fillId="33" borderId="60" xfId="1450" applyFont="1" applyFill="1" applyBorder="1" applyAlignment="1">
      <alignment horizontal="left" vertical="center"/>
    </xf>
    <xf numFmtId="0" fontId="89" fillId="33" borderId="0" xfId="1450" applyFont="1" applyFill="1" applyAlignment="1">
      <alignment horizontal="left" vertical="center"/>
    </xf>
    <xf numFmtId="0" fontId="89" fillId="33" borderId="94" xfId="1450" applyFont="1" applyFill="1" applyBorder="1" applyAlignment="1">
      <alignment horizontal="left" vertical="center"/>
    </xf>
    <xf numFmtId="0" fontId="89" fillId="33" borderId="40" xfId="1450" applyFont="1" applyFill="1" applyBorder="1" applyAlignment="1">
      <alignment horizontal="left" vertical="center"/>
    </xf>
    <xf numFmtId="0" fontId="89" fillId="33" borderId="0" xfId="1450" applyFont="1" applyFill="1" applyAlignment="1">
      <alignment horizontal="left" vertical="center"/>
    </xf>
    <xf numFmtId="0" fontId="89" fillId="33" borderId="59" xfId="1450" applyFont="1" applyFill="1" applyBorder="1" applyAlignment="1">
      <alignment horizontal="left" vertical="center"/>
    </xf>
    <xf numFmtId="0" fontId="89" fillId="33" borderId="60" xfId="1450" applyFont="1" applyFill="1" applyBorder="1" applyAlignment="1">
      <alignment horizontal="left" vertical="center"/>
    </xf>
    <xf numFmtId="0" fontId="115" fillId="33" borderId="0" xfId="1450" applyFont="1" applyFill="1" applyAlignment="1">
      <alignment horizontal="center"/>
    </xf>
    <xf numFmtId="49" fontId="112" fillId="33" borderId="50" xfId="1450" applyNumberFormat="1" applyFont="1" applyFill="1" applyBorder="1" applyAlignment="1">
      <alignment horizontal="center" vertical="center"/>
    </xf>
    <xf numFmtId="49" fontId="112" fillId="33" borderId="41" xfId="1450" applyNumberFormat="1" applyFont="1" applyFill="1" applyBorder="1" applyAlignment="1">
      <alignment horizontal="center" vertical="center"/>
    </xf>
    <xf numFmtId="0" fontId="89" fillId="33" borderId="59" xfId="1450" applyFont="1" applyFill="1" applyBorder="1" applyAlignment="1">
      <alignment horizontal="left" vertical="center"/>
    </xf>
    <xf numFmtId="0" fontId="89" fillId="33" borderId="60" xfId="1450" applyFont="1" applyFill="1" applyBorder="1" applyAlignment="1">
      <alignment horizontal="left" vertical="center"/>
    </xf>
    <xf numFmtId="49" fontId="112" fillId="33" borderId="50" xfId="1450" applyNumberFormat="1" applyFont="1" applyFill="1" applyBorder="1" applyAlignment="1">
      <alignment horizontal="center" vertical="center"/>
    </xf>
    <xf numFmtId="49" fontId="112" fillId="33" borderId="41" xfId="1450" applyNumberFormat="1" applyFont="1" applyFill="1" applyBorder="1" applyAlignment="1">
      <alignment horizontal="center" vertical="center"/>
    </xf>
    <xf numFmtId="0" fontId="112" fillId="33" borderId="3" xfId="1450" applyFont="1" applyFill="1" applyBorder="1" applyAlignment="1">
      <alignment vertical="top" wrapText="1"/>
    </xf>
    <xf numFmtId="0" fontId="112" fillId="33" borderId="39" xfId="1450" applyFont="1" applyFill="1" applyBorder="1" applyAlignment="1">
      <alignment vertical="top" wrapText="1"/>
    </xf>
    <xf numFmtId="0" fontId="89" fillId="33" borderId="93" xfId="1450" applyFont="1" applyFill="1" applyBorder="1" applyAlignment="1">
      <alignment horizontal="center" vertical="center"/>
    </xf>
    <xf numFmtId="49" fontId="112" fillId="33" borderId="7" xfId="1450" applyNumberFormat="1" applyFont="1" applyFill="1" applyBorder="1" applyAlignment="1">
      <alignment horizontal="center" vertical="top" wrapText="1"/>
    </xf>
    <xf numFmtId="49" fontId="112" fillId="33" borderId="41" xfId="1450" applyNumberFormat="1" applyFont="1" applyFill="1" applyBorder="1" applyAlignment="1">
      <alignment horizontal="center" vertical="top" wrapText="1"/>
    </xf>
    <xf numFmtId="0" fontId="112" fillId="33" borderId="7" xfId="1450" applyFont="1" applyFill="1" applyBorder="1" applyAlignment="1">
      <alignment horizontal="center" vertical="top" wrapText="1"/>
    </xf>
    <xf numFmtId="0" fontId="112" fillId="33" borderId="41" xfId="1450" applyFont="1" applyFill="1" applyBorder="1" applyAlignment="1">
      <alignment horizontal="center" vertical="top" wrapText="1"/>
    </xf>
    <xf numFmtId="49" fontId="116" fillId="33" borderId="50" xfId="1450" applyNumberFormat="1" applyFont="1" applyFill="1" applyBorder="1" applyAlignment="1">
      <alignment horizontal="left" vertical="center"/>
    </xf>
    <xf numFmtId="49" fontId="116" fillId="33" borderId="41" xfId="1450" applyNumberFormat="1" applyFont="1" applyFill="1" applyBorder="1" applyAlignment="1">
      <alignment horizontal="left" vertical="center"/>
    </xf>
    <xf numFmtId="0" fontId="116" fillId="33" borderId="3" xfId="1450" applyFont="1" applyFill="1" applyBorder="1" applyAlignment="1">
      <alignment horizontal="center" vertical="center"/>
    </xf>
    <xf numFmtId="0" fontId="116" fillId="33" borderId="39" xfId="1450" applyFont="1" applyFill="1" applyBorder="1" applyAlignment="1">
      <alignment horizontal="center" vertical="center"/>
    </xf>
    <xf numFmtId="0" fontId="112" fillId="33" borderId="7" xfId="1450" applyFont="1" applyFill="1" applyBorder="1" applyAlignment="1">
      <alignment horizontal="center" vertical="top" wrapText="1"/>
    </xf>
    <xf numFmtId="0" fontId="112" fillId="33" borderId="41" xfId="1450" applyFont="1" applyFill="1" applyBorder="1" applyAlignment="1">
      <alignment horizontal="center" vertical="top" wrapText="1"/>
    </xf>
    <xf numFmtId="49" fontId="116" fillId="33" borderId="18" xfId="1450" applyNumberFormat="1" applyFont="1" applyFill="1" applyBorder="1" applyAlignment="1">
      <alignment horizontal="left" vertical="center"/>
    </xf>
    <xf numFmtId="49" fontId="116" fillId="33" borderId="0" xfId="1450" applyNumberFormat="1" applyFont="1" applyFill="1" applyAlignment="1">
      <alignment horizontal="left" vertical="center"/>
    </xf>
    <xf numFmtId="0" fontId="116" fillId="33" borderId="44" xfId="1450" applyFont="1" applyFill="1" applyBorder="1" applyAlignment="1">
      <alignment horizontal="center" vertical="center"/>
    </xf>
    <xf numFmtId="0" fontId="116" fillId="33" borderId="66" xfId="1450" applyFont="1" applyFill="1" applyBorder="1" applyAlignment="1">
      <alignment horizontal="center" vertical="center"/>
    </xf>
    <xf numFmtId="0" fontId="116" fillId="33" borderId="95" xfId="1450" applyFont="1" applyFill="1" applyBorder="1" applyAlignment="1">
      <alignment horizontal="center" vertical="top" wrapText="1"/>
    </xf>
    <xf numFmtId="0" fontId="116" fillId="33" borderId="96" xfId="1450" applyFont="1" applyFill="1" applyBorder="1" applyAlignment="1">
      <alignment horizontal="center" vertical="top" wrapText="1"/>
    </xf>
    <xf numFmtId="0" fontId="113" fillId="33" borderId="38" xfId="1450" applyFont="1" applyFill="1" applyBorder="1" applyAlignment="1">
      <alignment horizontal="left" vertical="top" wrapText="1"/>
    </xf>
    <xf numFmtId="0" fontId="113" fillId="33" borderId="56" xfId="1450" applyFont="1" applyFill="1" applyBorder="1" applyAlignment="1">
      <alignment horizontal="left" vertical="top" wrapText="1"/>
    </xf>
    <xf numFmtId="0" fontId="113" fillId="33" borderId="57" xfId="1450" applyFont="1" applyFill="1" applyBorder="1" applyAlignment="1">
      <alignment horizontal="left" vertical="top" wrapText="1"/>
    </xf>
    <xf numFmtId="0" fontId="112" fillId="33" borderId="42" xfId="1450" applyFont="1" applyFill="1" applyBorder="1" applyAlignment="1">
      <alignment horizontal="center"/>
    </xf>
    <xf numFmtId="0" fontId="113" fillId="33" borderId="43" xfId="1450" applyFont="1" applyFill="1" applyBorder="1" applyAlignment="1">
      <alignment horizontal="left" vertical="top" wrapText="1"/>
    </xf>
    <xf numFmtId="0" fontId="113" fillId="33" borderId="44" xfId="1450" applyFont="1" applyFill="1" applyBorder="1" applyAlignment="1">
      <alignment horizontal="left" vertical="top" wrapText="1"/>
    </xf>
    <xf numFmtId="0" fontId="113" fillId="33" borderId="45" xfId="1450" applyFont="1" applyFill="1" applyBorder="1" applyAlignment="1">
      <alignment horizontal="left" vertical="top" wrapText="1"/>
    </xf>
    <xf numFmtId="0" fontId="116" fillId="33" borderId="28" xfId="1450" applyFont="1" applyFill="1" applyBorder="1" applyAlignment="1">
      <alignment horizontal="center"/>
    </xf>
    <xf numFmtId="0" fontId="116" fillId="33" borderId="0" xfId="1450" applyFont="1" applyFill="1" applyAlignment="1">
      <alignment horizontal="center"/>
    </xf>
    <xf numFmtId="0" fontId="112" fillId="33" borderId="7" xfId="1450" applyFont="1" applyFill="1" applyBorder="1" applyAlignment="1">
      <alignment horizontal="center"/>
    </xf>
    <xf numFmtId="0" fontId="112" fillId="33" borderId="41" xfId="1450" applyFont="1" applyFill="1" applyBorder="1" applyAlignment="1">
      <alignment horizontal="center"/>
    </xf>
    <xf numFmtId="0" fontId="112" fillId="33" borderId="39" xfId="1450" applyFont="1" applyFill="1" applyBorder="1" applyAlignment="1">
      <alignment horizontal="center"/>
    </xf>
    <xf numFmtId="15" fontId="112" fillId="33" borderId="3" xfId="1450" applyNumberFormat="1" applyFont="1" applyFill="1" applyBorder="1" applyAlignment="1">
      <alignment horizontal="center"/>
    </xf>
    <xf numFmtId="20" fontId="112" fillId="33" borderId="39" xfId="1450" applyNumberFormat="1" applyFont="1" applyFill="1" applyBorder="1" applyAlignment="1">
      <alignment horizontal="center"/>
    </xf>
    <xf numFmtId="0" fontId="112" fillId="33" borderId="56" xfId="1450" applyFont="1" applyFill="1" applyBorder="1" applyAlignment="1">
      <alignment horizontal="center" vertical="center"/>
    </xf>
    <xf numFmtId="0" fontId="112" fillId="33" borderId="57" xfId="1450" applyFont="1" applyFill="1" applyBorder="1" applyAlignment="1">
      <alignment horizontal="center" vertical="center"/>
    </xf>
    <xf numFmtId="0" fontId="117" fillId="33" borderId="0" xfId="1450" applyFont="1" applyFill="1" applyAlignment="1">
      <alignment horizontal="center" vertical="center" wrapText="1"/>
    </xf>
    <xf numFmtId="0" fontId="117" fillId="33" borderId="37" xfId="1450" applyFont="1" applyFill="1" applyBorder="1" applyAlignment="1">
      <alignment horizontal="center" vertical="center" wrapText="1"/>
    </xf>
    <xf numFmtId="0" fontId="112" fillId="33" borderId="42" xfId="1450" applyFont="1" applyFill="1" applyBorder="1" applyAlignment="1">
      <alignment horizontal="center" vertical="center" wrapText="1"/>
    </xf>
    <xf numFmtId="0" fontId="117" fillId="33" borderId="44" xfId="1450" applyFont="1" applyFill="1" applyBorder="1" applyAlignment="1">
      <alignment horizontal="center" vertical="center" wrapText="1"/>
    </xf>
    <xf numFmtId="0" fontId="117" fillId="33" borderId="45" xfId="1450" applyFont="1" applyFill="1" applyBorder="1" applyAlignment="1">
      <alignment horizontal="center" vertical="center" wrapText="1"/>
    </xf>
    <xf numFmtId="0" fontId="112" fillId="33" borderId="50" xfId="1450" applyFont="1" applyFill="1" applyBorder="1" applyAlignment="1">
      <alignment horizontal="center"/>
    </xf>
    <xf numFmtId="0" fontId="116" fillId="33" borderId="34" xfId="1450" applyFont="1" applyFill="1" applyBorder="1" applyAlignment="1">
      <alignment horizontal="center"/>
    </xf>
    <xf numFmtId="0" fontId="116" fillId="33" borderId="19" xfId="1450" applyFont="1" applyFill="1" applyBorder="1" applyAlignment="1">
      <alignment horizontal="center"/>
    </xf>
    <xf numFmtId="0" fontId="112" fillId="33" borderId="19" xfId="1450" applyFont="1" applyFill="1" applyBorder="1" applyAlignment="1">
      <alignment horizontal="center"/>
    </xf>
    <xf numFmtId="0" fontId="112" fillId="33" borderId="46" xfId="1450" applyFont="1" applyFill="1" applyBorder="1" applyAlignment="1">
      <alignment horizontal="center"/>
    </xf>
    <xf numFmtId="0" fontId="112" fillId="33" borderId="86" xfId="1450" applyFont="1" applyFill="1" applyBorder="1" applyAlignment="1">
      <alignment horizontal="center"/>
    </xf>
    <xf numFmtId="0" fontId="112" fillId="33" borderId="62" xfId="1450" applyFont="1" applyFill="1" applyBorder="1" applyAlignment="1">
      <alignment horizontal="center"/>
    </xf>
    <xf numFmtId="0" fontId="112" fillId="33" borderId="63" xfId="1450" applyFont="1" applyFill="1" applyBorder="1" applyAlignment="1">
      <alignment horizontal="center"/>
    </xf>
    <xf numFmtId="0" fontId="112" fillId="33" borderId="64" xfId="1450" applyFont="1" applyFill="1" applyBorder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4.8000000000000008E-2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1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1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41967</xdr:colOff>
      <xdr:row>0</xdr:row>
      <xdr:rowOff>0</xdr:rowOff>
    </xdr:from>
    <xdr:to>
      <xdr:col>54</xdr:col>
      <xdr:colOff>156701</xdr:colOff>
      <xdr:row>54</xdr:row>
      <xdr:rowOff>48357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6D262B-8F94-46F3-9767-44A74B1893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93" t="10052" r="30514" b="302"/>
        <a:stretch/>
      </xdr:blipFill>
      <xdr:spPr>
        <a:xfrm>
          <a:off x="15682017" y="0"/>
          <a:ext cx="4686734" cy="8287482"/>
        </a:xfrm>
        <a:prstGeom prst="rect">
          <a:avLst/>
        </a:prstGeom>
      </xdr:spPr>
    </xdr:pic>
    <xdr:clientData/>
  </xdr:twoCellAnchor>
  <xdr:oneCellAnchor>
    <xdr:from>
      <xdr:col>19</xdr:col>
      <xdr:colOff>195907</xdr:colOff>
      <xdr:row>0</xdr:row>
      <xdr:rowOff>0</xdr:rowOff>
    </xdr:from>
    <xdr:ext cx="827374" cy="821418"/>
    <xdr:pic>
      <xdr:nvPicPr>
        <xdr:cNvPr id="3" name="Picture 2">
          <a:extLst>
            <a:ext uri="{FF2B5EF4-FFF2-40B4-BE49-F238E27FC236}">
              <a16:creationId xmlns:a16="http://schemas.microsoft.com/office/drawing/2014/main" id="{6FF27DB9-66B9-441C-A49A-BCA109FFE9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77707" y="0"/>
          <a:ext cx="827374" cy="821418"/>
        </a:xfrm>
        <a:prstGeom prst="rect">
          <a:avLst/>
        </a:prstGeom>
      </xdr:spPr>
    </xdr:pic>
    <xdr:clientData/>
  </xdr:one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DBA2FC42-F83B-410B-9EFC-0744403FE79D}"/>
            </a:ext>
          </a:extLst>
        </xdr:cNvPr>
        <xdr:cNvGrpSpPr/>
      </xdr:nvGrpSpPr>
      <xdr:grpSpPr>
        <a:xfrm>
          <a:off x="9887299" y="802340"/>
          <a:ext cx="77114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BDE978E6-4968-1F8C-4F48-8529AF6EBB2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A41BEA3D-D2B5-9F81-543B-1B6DDB093A22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F99FA835-4C1D-67BB-8805-B13711E2DE2A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F3A88B5-DB6C-48A2-962D-0ACA67121AB6}"/>
            </a:ext>
          </a:extLst>
        </xdr:cNvPr>
        <xdr:cNvSpPr/>
      </xdr:nvSpPr>
      <xdr:spPr>
        <a:xfrm>
          <a:off x="9879304" y="963448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301D36C8-9695-4FCE-82C5-4E2C5822C41D}"/>
            </a:ext>
          </a:extLst>
        </xdr:cNvPr>
        <xdr:cNvGrpSpPr/>
      </xdr:nvGrpSpPr>
      <xdr:grpSpPr>
        <a:xfrm>
          <a:off x="10645351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F6A38373-D422-440A-B335-66E72A610EB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169FF360-42C8-0012-09EC-653E8202AB0D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2081D988-7D95-ABA5-7F57-DE9E031A0EB0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7ACEC8E-4218-49D7-AC3E-419FF0DBBFC2}"/>
            </a:ext>
          </a:extLst>
        </xdr:cNvPr>
        <xdr:cNvSpPr/>
      </xdr:nvSpPr>
      <xdr:spPr>
        <a:xfrm>
          <a:off x="10631272" y="963719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B454F236-E028-454F-8D9B-8DCD15AD8544}"/>
            </a:ext>
          </a:extLst>
        </xdr:cNvPr>
        <xdr:cNvCxnSpPr/>
      </xdr:nvCxnSpPr>
      <xdr:spPr>
        <a:xfrm>
          <a:off x="9620366" y="1162618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FBAD07A-DD56-44A6-B9A5-8D272A85FC93}"/>
            </a:ext>
          </a:extLst>
        </xdr:cNvPr>
        <xdr:cNvCxnSpPr/>
      </xdr:nvCxnSpPr>
      <xdr:spPr>
        <a:xfrm>
          <a:off x="10397782" y="1166431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BDAEE42-E7E5-4514-BA01-2FFAB445F65E}"/>
            </a:ext>
          </a:extLst>
        </xdr:cNvPr>
        <xdr:cNvCxnSpPr/>
      </xdr:nvCxnSpPr>
      <xdr:spPr>
        <a:xfrm>
          <a:off x="9621041" y="1310602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2C04EAD-6033-4D4B-A0C0-9D30F398BF00}"/>
            </a:ext>
          </a:extLst>
        </xdr:cNvPr>
        <xdr:cNvCxnSpPr/>
      </xdr:nvCxnSpPr>
      <xdr:spPr>
        <a:xfrm>
          <a:off x="10398457" y="1314416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7D23C4A4-52A5-4303-9F4D-B86054121466}"/>
            </a:ext>
          </a:extLst>
        </xdr:cNvPr>
        <xdr:cNvCxnSpPr/>
      </xdr:nvCxnSpPr>
      <xdr:spPr>
        <a:xfrm>
          <a:off x="9623738" y="1470030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7BA6B71-1C0C-423B-A4A4-B12BE61583DA}"/>
            </a:ext>
          </a:extLst>
        </xdr:cNvPr>
        <xdr:cNvCxnSpPr/>
      </xdr:nvCxnSpPr>
      <xdr:spPr>
        <a:xfrm>
          <a:off x="10401154" y="1473843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7095EBD4-2BB2-4AD4-B0A5-0FDA0EDFA00C}"/>
            </a:ext>
          </a:extLst>
        </xdr:cNvPr>
        <xdr:cNvCxnSpPr/>
      </xdr:nvCxnSpPr>
      <xdr:spPr>
        <a:xfrm>
          <a:off x="9620366" y="1617380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9ABA2F0-60A5-488E-9B55-DB386E9C8F27}"/>
            </a:ext>
          </a:extLst>
        </xdr:cNvPr>
        <xdr:cNvCxnSpPr/>
      </xdr:nvCxnSpPr>
      <xdr:spPr>
        <a:xfrm>
          <a:off x="10397782" y="1621194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EE2A0DC9-5AB4-4B0E-B385-8EEDD0B26E49}"/>
            </a:ext>
          </a:extLst>
        </xdr:cNvPr>
        <xdr:cNvCxnSpPr/>
      </xdr:nvCxnSpPr>
      <xdr:spPr>
        <a:xfrm rot="5400000" flipH="1" flipV="1">
          <a:off x="9856860" y="1443631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BC96928-15B4-41B7-9771-EDAF00104B04}"/>
            </a:ext>
          </a:extLst>
        </xdr:cNvPr>
        <xdr:cNvCxnSpPr/>
      </xdr:nvCxnSpPr>
      <xdr:spPr>
        <a:xfrm rot="5400000" flipH="1" flipV="1">
          <a:off x="9882160" y="144997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E13D0CF-459E-4AD2-9E23-E04A0C9220CE}"/>
            </a:ext>
          </a:extLst>
        </xdr:cNvPr>
        <xdr:cNvCxnSpPr/>
      </xdr:nvCxnSpPr>
      <xdr:spPr>
        <a:xfrm rot="5400000" flipH="1" flipV="1">
          <a:off x="9913182" y="145060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8F422CAE-6C45-4FBB-B48F-AA9A586C93F9}"/>
            </a:ext>
          </a:extLst>
        </xdr:cNvPr>
        <xdr:cNvCxnSpPr/>
      </xdr:nvCxnSpPr>
      <xdr:spPr>
        <a:xfrm rot="5400000" flipH="1" flipV="1">
          <a:off x="10620787" y="1450623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9C6B7256-5991-47C9-96DF-5A6B005DCEA7}"/>
            </a:ext>
          </a:extLst>
        </xdr:cNvPr>
        <xdr:cNvCxnSpPr/>
      </xdr:nvCxnSpPr>
      <xdr:spPr>
        <a:xfrm rot="5400000" flipH="1" flipV="1">
          <a:off x="10647992" y="1455060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66F98A0C-8EF6-48EA-8A03-77BFC2F5BE0C}"/>
            </a:ext>
          </a:extLst>
        </xdr:cNvPr>
        <xdr:cNvCxnSpPr/>
      </xdr:nvCxnSpPr>
      <xdr:spPr>
        <a:xfrm rot="5400000" flipH="1" flipV="1">
          <a:off x="10674251" y="1450934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6C0FA6E9-4456-488B-A3C0-6FA68A9B61F0}"/>
            </a:ext>
          </a:extLst>
        </xdr:cNvPr>
        <xdr:cNvCxnSpPr/>
      </xdr:nvCxnSpPr>
      <xdr:spPr>
        <a:xfrm rot="5400000" flipH="1" flipV="1">
          <a:off x="9826818" y="1591775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1079747D-AA35-4D03-9B07-069B969A7787}"/>
            </a:ext>
          </a:extLst>
        </xdr:cNvPr>
        <xdr:cNvCxnSpPr/>
      </xdr:nvCxnSpPr>
      <xdr:spPr>
        <a:xfrm rot="5400000" flipH="1" flipV="1">
          <a:off x="9857833" y="1592403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52A6CF38-D5E0-41B2-A0FF-B40A3CCD2D5E}"/>
            </a:ext>
          </a:extLst>
        </xdr:cNvPr>
        <xdr:cNvCxnSpPr/>
      </xdr:nvCxnSpPr>
      <xdr:spPr>
        <a:xfrm rot="5400000" flipH="1" flipV="1">
          <a:off x="9883140" y="159875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77EEC02-5571-4C9D-A5A4-4BC4730DE983}"/>
            </a:ext>
          </a:extLst>
        </xdr:cNvPr>
        <xdr:cNvCxnSpPr/>
      </xdr:nvCxnSpPr>
      <xdr:spPr>
        <a:xfrm rot="5400000" flipH="1" flipV="1">
          <a:off x="9910260" y="1595563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160BD97F-60A7-40BE-BE18-A8E18D22D0D9}"/>
            </a:ext>
          </a:extLst>
        </xdr:cNvPr>
        <xdr:cNvCxnSpPr/>
      </xdr:nvCxnSpPr>
      <xdr:spPr>
        <a:xfrm rot="5400000" flipH="1" flipV="1">
          <a:off x="10577259" y="1595589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E1E7170C-6220-408D-95E4-624B279D7E2F}"/>
            </a:ext>
          </a:extLst>
        </xdr:cNvPr>
        <xdr:cNvCxnSpPr/>
      </xdr:nvCxnSpPr>
      <xdr:spPr>
        <a:xfrm rot="5400000" flipH="1" flipV="1">
          <a:off x="10608274" y="1596217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B729A7B2-D8C9-450F-9182-0980181EA26E}"/>
            </a:ext>
          </a:extLst>
        </xdr:cNvPr>
        <xdr:cNvCxnSpPr/>
      </xdr:nvCxnSpPr>
      <xdr:spPr>
        <a:xfrm rot="5400000" flipH="1" flipV="1">
          <a:off x="10634533" y="1601615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A58C821-A557-4345-BA66-F5A35A0E9909}"/>
            </a:ext>
          </a:extLst>
        </xdr:cNvPr>
        <xdr:cNvCxnSpPr/>
      </xdr:nvCxnSpPr>
      <xdr:spPr>
        <a:xfrm rot="5400000" flipH="1" flipV="1">
          <a:off x="10667369" y="1602233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B6D83AE2-CACE-4B4E-9034-BE2E23576C5E}"/>
            </a:ext>
          </a:extLst>
        </xdr:cNvPr>
        <xdr:cNvSpPr/>
      </xdr:nvSpPr>
      <xdr:spPr>
        <a:xfrm>
          <a:off x="9875266" y="1739520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1F306BB-475C-4E76-9C8F-89003FCD7E5E}"/>
            </a:ext>
          </a:extLst>
        </xdr:cNvPr>
        <xdr:cNvSpPr/>
      </xdr:nvSpPr>
      <xdr:spPr>
        <a:xfrm>
          <a:off x="10648390" y="1748896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65FA7E37-BA11-4897-9A2A-593BFE4191F1}"/>
            </a:ext>
          </a:extLst>
        </xdr:cNvPr>
        <xdr:cNvGrpSpPr/>
      </xdr:nvGrpSpPr>
      <xdr:grpSpPr>
        <a:xfrm>
          <a:off x="9809382" y="1987620"/>
          <a:ext cx="195452" cy="117236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AC553DE1-A5FC-5993-A817-1B8F85E0898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BE5F0E35-7B9B-82A0-6BD4-DEDBA0916729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CF1C3F36-E95C-4F25-9C6C-7759F5C5D128}"/>
            </a:ext>
          </a:extLst>
        </xdr:cNvPr>
        <xdr:cNvGrpSpPr/>
      </xdr:nvGrpSpPr>
      <xdr:grpSpPr>
        <a:xfrm>
          <a:off x="10600452" y="1988203"/>
          <a:ext cx="198434" cy="117235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D2D9C397-AA1D-5CC3-CC69-D85E5FE539E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21CFDBB8-D3E0-4E57-E274-340841BCFFEB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39B25FC5-CA60-49A9-B254-32CE5C00BEEE}"/>
            </a:ext>
          </a:extLst>
        </xdr:cNvPr>
        <xdr:cNvGrpSpPr/>
      </xdr:nvGrpSpPr>
      <xdr:grpSpPr>
        <a:xfrm>
          <a:off x="9744452" y="2152722"/>
          <a:ext cx="319467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2374F2BC-A340-8E56-4D22-9BC982089F1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0355D2CF-8D15-52CB-B3D7-B67F1EE5466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AFC80CC7-7B0D-E35F-1910-6B3BD738540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2DF11A5D-276C-2167-FB67-6BC0A11F67D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E827E0B-93C5-46C3-B9A3-ED06C3DB7063}"/>
            </a:ext>
          </a:extLst>
        </xdr:cNvPr>
        <xdr:cNvGrpSpPr/>
      </xdr:nvGrpSpPr>
      <xdr:grpSpPr>
        <a:xfrm>
          <a:off x="10531204" y="21527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F7E24621-B0A0-73C6-9EA8-367B548EDA17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FFB4BB1B-17D6-A8B9-2118-6FB508E874FE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6F5936B0-75E8-8E1A-BA56-989933C2A1A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D86672F-AFCD-5037-27CB-1DE546E848C3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9189CF50-538F-4132-AFA4-D05E98D5E373}"/>
            </a:ext>
          </a:extLst>
        </xdr:cNvPr>
        <xdr:cNvCxnSpPr/>
      </xdr:nvCxnSpPr>
      <xdr:spPr>
        <a:xfrm>
          <a:off x="9632523" y="238623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D55CBD92-1A0A-4BFA-B5B3-5018D22C3E9F}"/>
            </a:ext>
          </a:extLst>
        </xdr:cNvPr>
        <xdr:cNvCxnSpPr/>
      </xdr:nvCxnSpPr>
      <xdr:spPr>
        <a:xfrm>
          <a:off x="10409939" y="239005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3E45E75-EECE-49D6-857F-9324B90BB2A3}"/>
            </a:ext>
          </a:extLst>
        </xdr:cNvPr>
        <xdr:cNvCxnSpPr/>
      </xdr:nvCxnSpPr>
      <xdr:spPr>
        <a:xfrm flipV="1">
          <a:off x="9813349" y="250201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0E33920-8DAE-4C7F-A481-40021903B702}"/>
            </a:ext>
          </a:extLst>
        </xdr:cNvPr>
        <xdr:cNvCxnSpPr/>
      </xdr:nvCxnSpPr>
      <xdr:spPr>
        <a:xfrm flipV="1">
          <a:off x="10550301" y="250056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A071F8FA-C511-4927-97B4-41EB35CC68F4}"/>
            </a:ext>
          </a:extLst>
        </xdr:cNvPr>
        <xdr:cNvGrpSpPr/>
      </xdr:nvGrpSpPr>
      <xdr:grpSpPr>
        <a:xfrm>
          <a:off x="9863001" y="1863169"/>
          <a:ext cx="115711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E8956A28-217E-CB11-80CB-00BCF2D7860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CC2FAAE7-28D5-62F1-3075-31693369A60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40AFC66-77EA-9E82-37A0-ACAC32A93E6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772E1EDF-E636-4CDF-9520-A4DFE892E89C}"/>
            </a:ext>
          </a:extLst>
        </xdr:cNvPr>
        <xdr:cNvGrpSpPr/>
      </xdr:nvGrpSpPr>
      <xdr:grpSpPr>
        <a:xfrm>
          <a:off x="10635227" y="1863875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32C1CF43-E831-1279-79E4-7DA5953690E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E00EF958-7289-E9C2-D9AC-A84604B13857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ED3478D6-D209-A35E-EF94-E96E4EC589F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128712</xdr:colOff>
      <xdr:row>9</xdr:row>
      <xdr:rowOff>111916</xdr:rowOff>
    </xdr:from>
    <xdr:to>
      <xdr:col>13</xdr:col>
      <xdr:colOff>342959</xdr:colOff>
      <xdr:row>56</xdr:row>
      <xdr:rowOff>111258</xdr:rowOff>
    </xdr:to>
    <xdr:sp macro="" textlink="">
      <xdr:nvSpPr>
        <xdr:cNvPr id="66" name="Freeform: Shape 65">
          <a:extLst>
            <a:ext uri="{FF2B5EF4-FFF2-40B4-BE49-F238E27FC236}">
              <a16:creationId xmlns:a16="http://schemas.microsoft.com/office/drawing/2014/main" id="{BABB1FF7-AB1B-4005-8CF0-D74A53CDFFB6}"/>
            </a:ext>
          </a:extLst>
        </xdr:cNvPr>
        <xdr:cNvSpPr/>
      </xdr:nvSpPr>
      <xdr:spPr>
        <a:xfrm>
          <a:off x="1957512" y="1493041"/>
          <a:ext cx="2881247" cy="7162142"/>
        </a:xfrm>
        <a:custGeom>
          <a:avLst/>
          <a:gdLst>
            <a:gd name="connsiteX0" fmla="*/ 2234046 w 2234046"/>
            <a:gd name="connsiteY0" fmla="*/ 0 h 5074227"/>
            <a:gd name="connsiteX1" fmla="*/ 1818409 w 2234046"/>
            <a:gd name="connsiteY1" fmla="*/ 969818 h 5074227"/>
            <a:gd name="connsiteX2" fmla="*/ 1524000 w 2234046"/>
            <a:gd name="connsiteY2" fmla="*/ 1870364 h 5074227"/>
            <a:gd name="connsiteX3" fmla="*/ 640773 w 2234046"/>
            <a:gd name="connsiteY3" fmla="*/ 3273136 h 5074227"/>
            <a:gd name="connsiteX4" fmla="*/ 0 w 2234046"/>
            <a:gd name="connsiteY4" fmla="*/ 5074227 h 5074227"/>
            <a:gd name="connsiteX0" fmla="*/ 2234046 w 2234046"/>
            <a:gd name="connsiteY0" fmla="*/ 0 h 5074227"/>
            <a:gd name="connsiteX1" fmla="*/ 1818409 w 2234046"/>
            <a:gd name="connsiteY1" fmla="*/ 969818 h 5074227"/>
            <a:gd name="connsiteX2" fmla="*/ 1524000 w 2234046"/>
            <a:gd name="connsiteY2" fmla="*/ 1870364 h 5074227"/>
            <a:gd name="connsiteX3" fmla="*/ 640773 w 2234046"/>
            <a:gd name="connsiteY3" fmla="*/ 3273136 h 5074227"/>
            <a:gd name="connsiteX4" fmla="*/ 0 w 2234046"/>
            <a:gd name="connsiteY4" fmla="*/ 5074227 h 5074227"/>
            <a:gd name="connsiteX0" fmla="*/ 2153450 w 2153450"/>
            <a:gd name="connsiteY0" fmla="*/ 0 h 5029904"/>
            <a:gd name="connsiteX1" fmla="*/ 1818409 w 2153450"/>
            <a:gd name="connsiteY1" fmla="*/ 925495 h 5029904"/>
            <a:gd name="connsiteX2" fmla="*/ 1524000 w 2153450"/>
            <a:gd name="connsiteY2" fmla="*/ 1826041 h 5029904"/>
            <a:gd name="connsiteX3" fmla="*/ 640773 w 2153450"/>
            <a:gd name="connsiteY3" fmla="*/ 3228813 h 5029904"/>
            <a:gd name="connsiteX4" fmla="*/ 0 w 2153450"/>
            <a:gd name="connsiteY4" fmla="*/ 5029904 h 5029904"/>
            <a:gd name="connsiteX0" fmla="*/ 2190085 w 2190085"/>
            <a:gd name="connsiteY0" fmla="*/ 0 h 5029904"/>
            <a:gd name="connsiteX1" fmla="*/ 1818409 w 2190085"/>
            <a:gd name="connsiteY1" fmla="*/ 925495 h 5029904"/>
            <a:gd name="connsiteX2" fmla="*/ 1524000 w 2190085"/>
            <a:gd name="connsiteY2" fmla="*/ 1826041 h 5029904"/>
            <a:gd name="connsiteX3" fmla="*/ 640773 w 2190085"/>
            <a:gd name="connsiteY3" fmla="*/ 3228813 h 5029904"/>
            <a:gd name="connsiteX4" fmla="*/ 0 w 2190085"/>
            <a:gd name="connsiteY4" fmla="*/ 5029904 h 5029904"/>
            <a:gd name="connsiteX0" fmla="*/ 2190085 w 2190085"/>
            <a:gd name="connsiteY0" fmla="*/ 0 h 5029904"/>
            <a:gd name="connsiteX1" fmla="*/ 1818409 w 2190085"/>
            <a:gd name="connsiteY1" fmla="*/ 925495 h 5029904"/>
            <a:gd name="connsiteX2" fmla="*/ 1524000 w 2190085"/>
            <a:gd name="connsiteY2" fmla="*/ 1826041 h 5029904"/>
            <a:gd name="connsiteX3" fmla="*/ 662754 w 2190085"/>
            <a:gd name="connsiteY3" fmla="*/ 3250974 h 5029904"/>
            <a:gd name="connsiteX4" fmla="*/ 0 w 2190085"/>
            <a:gd name="connsiteY4" fmla="*/ 5029904 h 5029904"/>
            <a:gd name="connsiteX0" fmla="*/ 2190085 w 2190085"/>
            <a:gd name="connsiteY0" fmla="*/ 0 h 5029904"/>
            <a:gd name="connsiteX1" fmla="*/ 1818409 w 2190085"/>
            <a:gd name="connsiteY1" fmla="*/ 925495 h 5029904"/>
            <a:gd name="connsiteX2" fmla="*/ 1509346 w 2190085"/>
            <a:gd name="connsiteY2" fmla="*/ 1811267 h 5029904"/>
            <a:gd name="connsiteX3" fmla="*/ 662754 w 2190085"/>
            <a:gd name="connsiteY3" fmla="*/ 3250974 h 5029904"/>
            <a:gd name="connsiteX4" fmla="*/ 0 w 2190085"/>
            <a:gd name="connsiteY4" fmla="*/ 5029904 h 5029904"/>
            <a:gd name="connsiteX0" fmla="*/ 2190085 w 2190085"/>
            <a:gd name="connsiteY0" fmla="*/ 0 h 5029904"/>
            <a:gd name="connsiteX1" fmla="*/ 1818409 w 2190085"/>
            <a:gd name="connsiteY1" fmla="*/ 925495 h 5029904"/>
            <a:gd name="connsiteX2" fmla="*/ 1509346 w 2190085"/>
            <a:gd name="connsiteY2" fmla="*/ 1811267 h 5029904"/>
            <a:gd name="connsiteX3" fmla="*/ 1478040 w 2190085"/>
            <a:gd name="connsiteY3" fmla="*/ 1950851 h 5029904"/>
            <a:gd name="connsiteX4" fmla="*/ 662754 w 2190085"/>
            <a:gd name="connsiteY4" fmla="*/ 3250974 h 5029904"/>
            <a:gd name="connsiteX5" fmla="*/ 0 w 2190085"/>
            <a:gd name="connsiteY5" fmla="*/ 5029904 h 5029904"/>
            <a:gd name="connsiteX0" fmla="*/ 2190085 w 2190085"/>
            <a:gd name="connsiteY0" fmla="*/ 0 h 5029904"/>
            <a:gd name="connsiteX1" fmla="*/ 1818409 w 2190085"/>
            <a:gd name="connsiteY1" fmla="*/ 925495 h 5029904"/>
            <a:gd name="connsiteX2" fmla="*/ 1668540 w 2190085"/>
            <a:gd name="connsiteY2" fmla="*/ 1382049 h 5029904"/>
            <a:gd name="connsiteX3" fmla="*/ 1509346 w 2190085"/>
            <a:gd name="connsiteY3" fmla="*/ 1811267 h 5029904"/>
            <a:gd name="connsiteX4" fmla="*/ 1478040 w 2190085"/>
            <a:gd name="connsiteY4" fmla="*/ 1950851 h 5029904"/>
            <a:gd name="connsiteX5" fmla="*/ 662754 w 2190085"/>
            <a:gd name="connsiteY5" fmla="*/ 3250974 h 5029904"/>
            <a:gd name="connsiteX6" fmla="*/ 0 w 2190085"/>
            <a:gd name="connsiteY6" fmla="*/ 5029904 h 5029904"/>
            <a:gd name="connsiteX0" fmla="*/ 2190085 w 2190085"/>
            <a:gd name="connsiteY0" fmla="*/ 0 h 5029904"/>
            <a:gd name="connsiteX1" fmla="*/ 1818409 w 2190085"/>
            <a:gd name="connsiteY1" fmla="*/ 925495 h 5029904"/>
            <a:gd name="connsiteX2" fmla="*/ 1668540 w 2190085"/>
            <a:gd name="connsiteY2" fmla="*/ 1382049 h 5029904"/>
            <a:gd name="connsiteX3" fmla="*/ 1538654 w 2190085"/>
            <a:gd name="connsiteY3" fmla="*/ 1826041 h 5029904"/>
            <a:gd name="connsiteX4" fmla="*/ 1478040 w 2190085"/>
            <a:gd name="connsiteY4" fmla="*/ 1950851 h 5029904"/>
            <a:gd name="connsiteX5" fmla="*/ 662754 w 2190085"/>
            <a:gd name="connsiteY5" fmla="*/ 3250974 h 5029904"/>
            <a:gd name="connsiteX6" fmla="*/ 0 w 2190085"/>
            <a:gd name="connsiteY6" fmla="*/ 5029904 h 5029904"/>
            <a:gd name="connsiteX0" fmla="*/ 2190085 w 2190085"/>
            <a:gd name="connsiteY0" fmla="*/ 0 h 5029904"/>
            <a:gd name="connsiteX1" fmla="*/ 1818409 w 2190085"/>
            <a:gd name="connsiteY1" fmla="*/ 925495 h 5029904"/>
            <a:gd name="connsiteX2" fmla="*/ 1668540 w 2190085"/>
            <a:gd name="connsiteY2" fmla="*/ 1382049 h 5029904"/>
            <a:gd name="connsiteX3" fmla="*/ 1509346 w 2190085"/>
            <a:gd name="connsiteY3" fmla="*/ 1818655 h 5029904"/>
            <a:gd name="connsiteX4" fmla="*/ 1478040 w 2190085"/>
            <a:gd name="connsiteY4" fmla="*/ 1950851 h 5029904"/>
            <a:gd name="connsiteX5" fmla="*/ 662754 w 2190085"/>
            <a:gd name="connsiteY5" fmla="*/ 3250974 h 5029904"/>
            <a:gd name="connsiteX6" fmla="*/ 0 w 2190085"/>
            <a:gd name="connsiteY6" fmla="*/ 5029904 h 5029904"/>
            <a:gd name="connsiteX0" fmla="*/ 2190085 w 2190085"/>
            <a:gd name="connsiteY0" fmla="*/ 0 h 5029904"/>
            <a:gd name="connsiteX1" fmla="*/ 1818409 w 2190085"/>
            <a:gd name="connsiteY1" fmla="*/ 925495 h 5029904"/>
            <a:gd name="connsiteX2" fmla="*/ 1668540 w 2190085"/>
            <a:gd name="connsiteY2" fmla="*/ 1382049 h 5029904"/>
            <a:gd name="connsiteX3" fmla="*/ 1509346 w 2190085"/>
            <a:gd name="connsiteY3" fmla="*/ 1818655 h 5029904"/>
            <a:gd name="connsiteX4" fmla="*/ 1456060 w 2190085"/>
            <a:gd name="connsiteY4" fmla="*/ 1928690 h 5029904"/>
            <a:gd name="connsiteX5" fmla="*/ 662754 w 2190085"/>
            <a:gd name="connsiteY5" fmla="*/ 3250974 h 5029904"/>
            <a:gd name="connsiteX6" fmla="*/ 0 w 2190085"/>
            <a:gd name="connsiteY6" fmla="*/ 5029904 h 5029904"/>
            <a:gd name="connsiteX0" fmla="*/ 2142460 w 2142460"/>
            <a:gd name="connsiteY0" fmla="*/ 0 h 4719171"/>
            <a:gd name="connsiteX1" fmla="*/ 1770784 w 2142460"/>
            <a:gd name="connsiteY1" fmla="*/ 925495 h 4719171"/>
            <a:gd name="connsiteX2" fmla="*/ 1620915 w 2142460"/>
            <a:gd name="connsiteY2" fmla="*/ 1382049 h 4719171"/>
            <a:gd name="connsiteX3" fmla="*/ 1461721 w 2142460"/>
            <a:gd name="connsiteY3" fmla="*/ 1818655 h 4719171"/>
            <a:gd name="connsiteX4" fmla="*/ 1408435 w 2142460"/>
            <a:gd name="connsiteY4" fmla="*/ 1928690 h 4719171"/>
            <a:gd name="connsiteX5" fmla="*/ 615129 w 2142460"/>
            <a:gd name="connsiteY5" fmla="*/ 3250974 h 4719171"/>
            <a:gd name="connsiteX6" fmla="*/ 0 w 2142460"/>
            <a:gd name="connsiteY6" fmla="*/ 4719171 h 4719171"/>
            <a:gd name="connsiteX0" fmla="*/ 2130553 w 2130553"/>
            <a:gd name="connsiteY0" fmla="*/ 0 h 4713194"/>
            <a:gd name="connsiteX1" fmla="*/ 1758877 w 2130553"/>
            <a:gd name="connsiteY1" fmla="*/ 925495 h 4713194"/>
            <a:gd name="connsiteX2" fmla="*/ 1609008 w 2130553"/>
            <a:gd name="connsiteY2" fmla="*/ 1382049 h 4713194"/>
            <a:gd name="connsiteX3" fmla="*/ 1449814 w 2130553"/>
            <a:gd name="connsiteY3" fmla="*/ 1818655 h 4713194"/>
            <a:gd name="connsiteX4" fmla="*/ 1396528 w 2130553"/>
            <a:gd name="connsiteY4" fmla="*/ 1928690 h 4713194"/>
            <a:gd name="connsiteX5" fmla="*/ 603222 w 2130553"/>
            <a:gd name="connsiteY5" fmla="*/ 3250974 h 4713194"/>
            <a:gd name="connsiteX6" fmla="*/ 0 w 2130553"/>
            <a:gd name="connsiteY6" fmla="*/ 4713194 h 4713194"/>
            <a:gd name="connsiteX0" fmla="*/ 2130553 w 2130553"/>
            <a:gd name="connsiteY0" fmla="*/ 0 h 4713194"/>
            <a:gd name="connsiteX1" fmla="*/ 1758877 w 2130553"/>
            <a:gd name="connsiteY1" fmla="*/ 925495 h 4713194"/>
            <a:gd name="connsiteX2" fmla="*/ 1609008 w 2130553"/>
            <a:gd name="connsiteY2" fmla="*/ 1382049 h 4713194"/>
            <a:gd name="connsiteX3" fmla="*/ 1458097 w 2130553"/>
            <a:gd name="connsiteY3" fmla="*/ 1767051 h 4713194"/>
            <a:gd name="connsiteX4" fmla="*/ 1396528 w 2130553"/>
            <a:gd name="connsiteY4" fmla="*/ 1928690 h 4713194"/>
            <a:gd name="connsiteX5" fmla="*/ 603222 w 2130553"/>
            <a:gd name="connsiteY5" fmla="*/ 3250974 h 4713194"/>
            <a:gd name="connsiteX6" fmla="*/ 0 w 2130553"/>
            <a:gd name="connsiteY6" fmla="*/ 4713194 h 4713194"/>
            <a:gd name="connsiteX0" fmla="*/ 2130553 w 2130553"/>
            <a:gd name="connsiteY0" fmla="*/ 0 h 4713194"/>
            <a:gd name="connsiteX1" fmla="*/ 1758877 w 2130553"/>
            <a:gd name="connsiteY1" fmla="*/ 925495 h 4713194"/>
            <a:gd name="connsiteX2" fmla="*/ 1609008 w 2130553"/>
            <a:gd name="connsiteY2" fmla="*/ 1382049 h 4713194"/>
            <a:gd name="connsiteX3" fmla="*/ 1458097 w 2130553"/>
            <a:gd name="connsiteY3" fmla="*/ 1767051 h 4713194"/>
            <a:gd name="connsiteX4" fmla="*/ 1321985 w 2130553"/>
            <a:gd name="connsiteY4" fmla="*/ 2040500 h 4713194"/>
            <a:gd name="connsiteX5" fmla="*/ 603222 w 2130553"/>
            <a:gd name="connsiteY5" fmla="*/ 3250974 h 4713194"/>
            <a:gd name="connsiteX6" fmla="*/ 0 w 2130553"/>
            <a:gd name="connsiteY6" fmla="*/ 4713194 h 4713194"/>
            <a:gd name="connsiteX0" fmla="*/ 2130553 w 2130553"/>
            <a:gd name="connsiteY0" fmla="*/ 0 h 4713194"/>
            <a:gd name="connsiteX1" fmla="*/ 1758877 w 2130553"/>
            <a:gd name="connsiteY1" fmla="*/ 925495 h 4713194"/>
            <a:gd name="connsiteX2" fmla="*/ 1609008 w 2130553"/>
            <a:gd name="connsiteY2" fmla="*/ 1382049 h 4713194"/>
            <a:gd name="connsiteX3" fmla="*/ 1482945 w 2130553"/>
            <a:gd name="connsiteY3" fmla="*/ 1767051 h 4713194"/>
            <a:gd name="connsiteX4" fmla="*/ 1321985 w 2130553"/>
            <a:gd name="connsiteY4" fmla="*/ 2040500 h 4713194"/>
            <a:gd name="connsiteX5" fmla="*/ 603222 w 2130553"/>
            <a:gd name="connsiteY5" fmla="*/ 3250974 h 4713194"/>
            <a:gd name="connsiteX6" fmla="*/ 0 w 2130553"/>
            <a:gd name="connsiteY6" fmla="*/ 4713194 h 4713194"/>
            <a:gd name="connsiteX0" fmla="*/ 2130553 w 2130553"/>
            <a:gd name="connsiteY0" fmla="*/ 0 h 4713194"/>
            <a:gd name="connsiteX1" fmla="*/ 1758877 w 2130553"/>
            <a:gd name="connsiteY1" fmla="*/ 925495 h 4713194"/>
            <a:gd name="connsiteX2" fmla="*/ 1609008 w 2130553"/>
            <a:gd name="connsiteY2" fmla="*/ 1382049 h 4713194"/>
            <a:gd name="connsiteX3" fmla="*/ 1458098 w 2130553"/>
            <a:gd name="connsiteY3" fmla="*/ 1767051 h 4713194"/>
            <a:gd name="connsiteX4" fmla="*/ 1321985 w 2130553"/>
            <a:gd name="connsiteY4" fmla="*/ 2040500 h 4713194"/>
            <a:gd name="connsiteX5" fmla="*/ 603222 w 2130553"/>
            <a:gd name="connsiteY5" fmla="*/ 3250974 h 4713194"/>
            <a:gd name="connsiteX6" fmla="*/ 0 w 2130553"/>
            <a:gd name="connsiteY6" fmla="*/ 4713194 h 4713194"/>
            <a:gd name="connsiteX0" fmla="*/ 2130553 w 2130553"/>
            <a:gd name="connsiteY0" fmla="*/ 0 h 4713194"/>
            <a:gd name="connsiteX1" fmla="*/ 1758877 w 2130553"/>
            <a:gd name="connsiteY1" fmla="*/ 925495 h 4713194"/>
            <a:gd name="connsiteX2" fmla="*/ 1609008 w 2130553"/>
            <a:gd name="connsiteY2" fmla="*/ 1382049 h 4713194"/>
            <a:gd name="connsiteX3" fmla="*/ 1458098 w 2130553"/>
            <a:gd name="connsiteY3" fmla="*/ 1767051 h 4713194"/>
            <a:gd name="connsiteX4" fmla="*/ 1321985 w 2130553"/>
            <a:gd name="connsiteY4" fmla="*/ 2040500 h 4713194"/>
            <a:gd name="connsiteX5" fmla="*/ 603222 w 2130553"/>
            <a:gd name="connsiteY5" fmla="*/ 3250974 h 4713194"/>
            <a:gd name="connsiteX6" fmla="*/ 351644 w 2130553"/>
            <a:gd name="connsiteY6" fmla="*/ 3794934 h 4713194"/>
            <a:gd name="connsiteX7" fmla="*/ 0 w 2130553"/>
            <a:gd name="connsiteY7" fmla="*/ 4713194 h 4713194"/>
            <a:gd name="connsiteX0" fmla="*/ 1778909 w 1778909"/>
            <a:gd name="connsiteY0" fmla="*/ 0 h 3794934"/>
            <a:gd name="connsiteX1" fmla="*/ 1407233 w 1778909"/>
            <a:gd name="connsiteY1" fmla="*/ 925495 h 3794934"/>
            <a:gd name="connsiteX2" fmla="*/ 1257364 w 1778909"/>
            <a:gd name="connsiteY2" fmla="*/ 1382049 h 3794934"/>
            <a:gd name="connsiteX3" fmla="*/ 1106454 w 1778909"/>
            <a:gd name="connsiteY3" fmla="*/ 1767051 h 3794934"/>
            <a:gd name="connsiteX4" fmla="*/ 970341 w 1778909"/>
            <a:gd name="connsiteY4" fmla="*/ 2040500 h 3794934"/>
            <a:gd name="connsiteX5" fmla="*/ 251578 w 1778909"/>
            <a:gd name="connsiteY5" fmla="*/ 3250974 h 3794934"/>
            <a:gd name="connsiteX6" fmla="*/ 0 w 1778909"/>
            <a:gd name="connsiteY6" fmla="*/ 3794934 h 3794934"/>
            <a:gd name="connsiteX0" fmla="*/ 1910793 w 1910793"/>
            <a:gd name="connsiteY0" fmla="*/ 0 h 4208771"/>
            <a:gd name="connsiteX1" fmla="*/ 1539117 w 1910793"/>
            <a:gd name="connsiteY1" fmla="*/ 925495 h 4208771"/>
            <a:gd name="connsiteX2" fmla="*/ 1389248 w 1910793"/>
            <a:gd name="connsiteY2" fmla="*/ 1382049 h 4208771"/>
            <a:gd name="connsiteX3" fmla="*/ 1238338 w 1910793"/>
            <a:gd name="connsiteY3" fmla="*/ 1767051 h 4208771"/>
            <a:gd name="connsiteX4" fmla="*/ 1102225 w 1910793"/>
            <a:gd name="connsiteY4" fmla="*/ 2040500 h 4208771"/>
            <a:gd name="connsiteX5" fmla="*/ 383462 w 1910793"/>
            <a:gd name="connsiteY5" fmla="*/ 3250974 h 4208771"/>
            <a:gd name="connsiteX6" fmla="*/ 0 w 1910793"/>
            <a:gd name="connsiteY6" fmla="*/ 4208771 h 42087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910793" h="4208771">
              <a:moveTo>
                <a:pt x="1910793" y="0"/>
              </a:moveTo>
              <a:cubicBezTo>
                <a:pt x="1762145" y="329045"/>
                <a:pt x="1626041" y="695154"/>
                <a:pt x="1539117" y="925495"/>
              </a:cubicBezTo>
              <a:cubicBezTo>
                <a:pt x="1452193" y="1155836"/>
                <a:pt x="1440758" y="1234420"/>
                <a:pt x="1389248" y="1382049"/>
              </a:cubicBezTo>
              <a:cubicBezTo>
                <a:pt x="1337738" y="1529678"/>
                <a:pt x="1286175" y="1657309"/>
                <a:pt x="1238338" y="1767051"/>
              </a:cubicBezTo>
              <a:cubicBezTo>
                <a:pt x="1190501" y="1876793"/>
                <a:pt x="1243324" y="1800549"/>
                <a:pt x="1102225" y="2040500"/>
              </a:cubicBezTo>
              <a:cubicBezTo>
                <a:pt x="961126" y="2280451"/>
                <a:pt x="567166" y="2889596"/>
                <a:pt x="383462" y="3250974"/>
              </a:cubicBezTo>
              <a:cubicBezTo>
                <a:pt x="199758" y="3612353"/>
                <a:pt x="100537" y="3965068"/>
                <a:pt x="0" y="4208771"/>
              </a:cubicBezTo>
            </a:path>
          </a:pathLst>
        </a:custGeom>
        <a:noFill/>
        <a:ln w="190500"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77794</xdr:colOff>
      <xdr:row>18</xdr:row>
      <xdr:rowOff>136187</xdr:rowOff>
    </xdr:from>
    <xdr:to>
      <xdr:col>11</xdr:col>
      <xdr:colOff>318530</xdr:colOff>
      <xdr:row>23</xdr:row>
      <xdr:rowOff>21867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84DCE040-D20A-49C7-9E06-757557D7A78E}"/>
            </a:ext>
          </a:extLst>
        </xdr:cNvPr>
        <xdr:cNvCxnSpPr/>
      </xdr:nvCxnSpPr>
      <xdr:spPr>
        <a:xfrm>
          <a:off x="1906594" y="2888912"/>
          <a:ext cx="2145736" cy="647680"/>
        </a:xfrm>
        <a:prstGeom prst="line">
          <a:avLst/>
        </a:prstGeom>
        <a:noFill/>
        <a:ln w="127000"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353822</xdr:colOff>
      <xdr:row>26</xdr:row>
      <xdr:rowOff>87761</xdr:rowOff>
    </xdr:from>
    <xdr:to>
      <xdr:col>10</xdr:col>
      <xdr:colOff>319287</xdr:colOff>
      <xdr:row>30</xdr:row>
      <xdr:rowOff>89793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ABA97160-BA27-4CB5-AAB5-8751D068DFC9}"/>
            </a:ext>
          </a:extLst>
        </xdr:cNvPr>
        <xdr:cNvCxnSpPr/>
      </xdr:nvCxnSpPr>
      <xdr:spPr>
        <a:xfrm>
          <a:off x="2563622" y="4059686"/>
          <a:ext cx="1108465" cy="611632"/>
        </a:xfrm>
        <a:prstGeom prst="line">
          <a:avLst/>
        </a:prstGeom>
        <a:noFill/>
        <a:ln w="1270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5</xdr:col>
      <xdr:colOff>223809</xdr:colOff>
      <xdr:row>34</xdr:row>
      <xdr:rowOff>5080</xdr:rowOff>
    </xdr:from>
    <xdr:to>
      <xdr:col>9</xdr:col>
      <xdr:colOff>61129</xdr:colOff>
      <xdr:row>39</xdr:row>
      <xdr:rowOff>84952</xdr:rowOff>
    </xdr:to>
    <xdr:sp macro="" textlink="">
      <xdr:nvSpPr>
        <xdr:cNvPr id="69" name="Freeform: Shape 68">
          <a:extLst>
            <a:ext uri="{FF2B5EF4-FFF2-40B4-BE49-F238E27FC236}">
              <a16:creationId xmlns:a16="http://schemas.microsoft.com/office/drawing/2014/main" id="{F6C3BDF6-CF7D-4023-9B25-761108DA3868}"/>
            </a:ext>
          </a:extLst>
        </xdr:cNvPr>
        <xdr:cNvSpPr/>
      </xdr:nvSpPr>
      <xdr:spPr>
        <a:xfrm>
          <a:off x="1671609" y="5196205"/>
          <a:ext cx="1361320" cy="841872"/>
        </a:xfrm>
        <a:custGeom>
          <a:avLst/>
          <a:gdLst>
            <a:gd name="connsiteX0" fmla="*/ 0 w 902804"/>
            <a:gd name="connsiteY0" fmla="*/ 0 h 331304"/>
            <a:gd name="connsiteX1" fmla="*/ 414130 w 902804"/>
            <a:gd name="connsiteY1" fmla="*/ 82826 h 331304"/>
            <a:gd name="connsiteX2" fmla="*/ 902804 w 902804"/>
            <a:gd name="connsiteY2" fmla="*/ 331304 h 331304"/>
            <a:gd name="connsiteX3" fmla="*/ 902804 w 902804"/>
            <a:gd name="connsiteY3" fmla="*/ 331304 h 3313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902804" h="331304">
              <a:moveTo>
                <a:pt x="0" y="0"/>
              </a:moveTo>
              <a:cubicBezTo>
                <a:pt x="131831" y="13804"/>
                <a:pt x="263663" y="27609"/>
                <a:pt x="414130" y="82826"/>
              </a:cubicBezTo>
              <a:cubicBezTo>
                <a:pt x="564597" y="138043"/>
                <a:pt x="902804" y="331304"/>
                <a:pt x="902804" y="331304"/>
              </a:cubicBezTo>
              <a:lnTo>
                <a:pt x="902804" y="331304"/>
              </a:lnTo>
            </a:path>
          </a:pathLst>
        </a:custGeom>
        <a:solidFill>
          <a:srgbClr val="92D050"/>
        </a:solidFill>
        <a:ln w="1270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162301</xdr:colOff>
      <xdr:row>4</xdr:row>
      <xdr:rowOff>84077</xdr:rowOff>
    </xdr:from>
    <xdr:to>
      <xdr:col>19</xdr:col>
      <xdr:colOff>89811</xdr:colOff>
      <xdr:row>10</xdr:row>
      <xdr:rowOff>10349</xdr:rowOff>
    </xdr:to>
    <xdr:sp macro="" textlink="">
      <xdr:nvSpPr>
        <xdr:cNvPr id="70" name="Freeform: Shape 69">
          <a:extLst>
            <a:ext uri="{FF2B5EF4-FFF2-40B4-BE49-F238E27FC236}">
              <a16:creationId xmlns:a16="http://schemas.microsoft.com/office/drawing/2014/main" id="{5302AE53-747D-4BE1-9B2E-3C0A6CB78A5D}"/>
            </a:ext>
          </a:extLst>
        </xdr:cNvPr>
        <xdr:cNvSpPr/>
      </xdr:nvSpPr>
      <xdr:spPr>
        <a:xfrm>
          <a:off x="2372101" y="703202"/>
          <a:ext cx="4499510" cy="840672"/>
        </a:xfrm>
        <a:custGeom>
          <a:avLst/>
          <a:gdLst>
            <a:gd name="connsiteX0" fmla="*/ 0 w 3082636"/>
            <a:gd name="connsiteY0" fmla="*/ 0 h 640773"/>
            <a:gd name="connsiteX1" fmla="*/ 1783773 w 3082636"/>
            <a:gd name="connsiteY1" fmla="*/ 554182 h 640773"/>
            <a:gd name="connsiteX2" fmla="*/ 1783773 w 3082636"/>
            <a:gd name="connsiteY2" fmla="*/ 554182 h 640773"/>
            <a:gd name="connsiteX3" fmla="*/ 3082636 w 3082636"/>
            <a:gd name="connsiteY3" fmla="*/ 640773 h 640773"/>
            <a:gd name="connsiteX0" fmla="*/ 0 w 3290454"/>
            <a:gd name="connsiteY0" fmla="*/ 0 h 640773"/>
            <a:gd name="connsiteX1" fmla="*/ 1991591 w 3290454"/>
            <a:gd name="connsiteY1" fmla="*/ 554182 h 640773"/>
            <a:gd name="connsiteX2" fmla="*/ 1991591 w 3290454"/>
            <a:gd name="connsiteY2" fmla="*/ 554182 h 640773"/>
            <a:gd name="connsiteX3" fmla="*/ 3290454 w 3290454"/>
            <a:gd name="connsiteY3" fmla="*/ 640773 h 640773"/>
            <a:gd name="connsiteX0" fmla="*/ 0 w 2983997"/>
            <a:gd name="connsiteY0" fmla="*/ 0 h 548141"/>
            <a:gd name="connsiteX1" fmla="*/ 1685134 w 2983997"/>
            <a:gd name="connsiteY1" fmla="*/ 461550 h 548141"/>
            <a:gd name="connsiteX2" fmla="*/ 1685134 w 2983997"/>
            <a:gd name="connsiteY2" fmla="*/ 461550 h 548141"/>
            <a:gd name="connsiteX3" fmla="*/ 2983997 w 2983997"/>
            <a:gd name="connsiteY3" fmla="*/ 548141 h 5481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983997" h="548141">
              <a:moveTo>
                <a:pt x="0" y="0"/>
              </a:moveTo>
              <a:lnTo>
                <a:pt x="1685134" y="461550"/>
              </a:lnTo>
              <a:lnTo>
                <a:pt x="1685134" y="461550"/>
              </a:lnTo>
              <a:lnTo>
                <a:pt x="2983997" y="548141"/>
              </a:lnTo>
            </a:path>
          </a:pathLst>
        </a:custGeom>
        <a:noFill/>
        <a:ln w="254000"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369803</xdr:colOff>
      <xdr:row>6</xdr:row>
      <xdr:rowOff>131637</xdr:rowOff>
    </xdr:from>
    <xdr:to>
      <xdr:col>14</xdr:col>
      <xdr:colOff>132803</xdr:colOff>
      <xdr:row>7</xdr:row>
      <xdr:rowOff>121771</xdr:rowOff>
    </xdr:to>
    <xdr:grpSp>
      <xdr:nvGrpSpPr>
        <xdr:cNvPr id="71" name="Group 14">
          <a:extLst>
            <a:ext uri="{FF2B5EF4-FFF2-40B4-BE49-F238E27FC236}">
              <a16:creationId xmlns:a16="http://schemas.microsoft.com/office/drawing/2014/main" id="{9723C144-4FE1-4498-AA60-71DEA1AE8F66}"/>
            </a:ext>
          </a:extLst>
        </xdr:cNvPr>
        <xdr:cNvGrpSpPr/>
      </xdr:nvGrpSpPr>
      <xdr:grpSpPr>
        <a:xfrm rot="19985562">
          <a:off x="4875542" y="1042724"/>
          <a:ext cx="144000" cy="139221"/>
          <a:chOff x="9937028" y="802652"/>
          <a:chExt cx="83991" cy="77961"/>
        </a:xfrm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41AB35FF-8432-F682-DAB1-8517AA7440A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90B9DE75-7A89-BE21-447A-2CC4D81D8740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8A076213-4BBE-3F96-D014-E8C1E7B7AA10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119268</xdr:colOff>
      <xdr:row>20</xdr:row>
      <xdr:rowOff>121697</xdr:rowOff>
    </xdr:from>
    <xdr:to>
      <xdr:col>11</xdr:col>
      <xdr:colOff>263268</xdr:colOff>
      <xdr:row>21</xdr:row>
      <xdr:rowOff>111832</xdr:rowOff>
    </xdr:to>
    <xdr:grpSp>
      <xdr:nvGrpSpPr>
        <xdr:cNvPr id="75" name="Group 14">
          <a:extLst>
            <a:ext uri="{FF2B5EF4-FFF2-40B4-BE49-F238E27FC236}">
              <a16:creationId xmlns:a16="http://schemas.microsoft.com/office/drawing/2014/main" id="{2A6C3C84-136E-45B5-AFA3-640420310E3B}"/>
            </a:ext>
          </a:extLst>
        </xdr:cNvPr>
        <xdr:cNvGrpSpPr/>
      </xdr:nvGrpSpPr>
      <xdr:grpSpPr>
        <a:xfrm rot="1227337">
          <a:off x="3863007" y="3120001"/>
          <a:ext cx="144000" cy="139222"/>
          <a:chOff x="9937028" y="802652"/>
          <a:chExt cx="83991" cy="77961"/>
        </a:xfrm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04D84CE4-6D52-AB27-07D9-0E4C4B2ABC9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61BE2EC4-49C1-008C-1C44-3C05C17DB091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B7A94532-DFD9-3379-F383-5E123656EACE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36099</xdr:colOff>
      <xdr:row>15</xdr:row>
      <xdr:rowOff>102186</xdr:rowOff>
    </xdr:from>
    <xdr:to>
      <xdr:col>12</xdr:col>
      <xdr:colOff>180099</xdr:colOff>
      <xdr:row>16</xdr:row>
      <xdr:rowOff>92320</xdr:rowOff>
    </xdr:to>
    <xdr:grpSp>
      <xdr:nvGrpSpPr>
        <xdr:cNvPr id="79" name="Group 14">
          <a:extLst>
            <a:ext uri="{FF2B5EF4-FFF2-40B4-BE49-F238E27FC236}">
              <a16:creationId xmlns:a16="http://schemas.microsoft.com/office/drawing/2014/main" id="{27E33577-1DD8-4452-BA04-8790FF1CAA9D}"/>
            </a:ext>
          </a:extLst>
        </xdr:cNvPr>
        <xdr:cNvGrpSpPr/>
      </xdr:nvGrpSpPr>
      <xdr:grpSpPr>
        <a:xfrm rot="19861466">
          <a:off x="4160838" y="2355056"/>
          <a:ext cx="144000" cy="139221"/>
          <a:chOff x="9937028" y="802652"/>
          <a:chExt cx="83991" cy="77961"/>
        </a:xfrm>
      </xdr:grpSpPr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5DA70B65-1571-CD5B-733D-8DCD090404F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85B259DD-D7D2-A6B1-180A-E4CD2FDA784B}"/>
              </a:ext>
            </a:extLst>
          </xdr:cNvPr>
          <xdr:cNvCxnSpPr>
            <a:stCxn id="80" idx="1"/>
            <a:endCxn id="8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7985C03D-A8D3-8583-2616-650AE1C347A7}"/>
              </a:ext>
            </a:extLst>
          </xdr:cNvPr>
          <xdr:cNvCxnSpPr>
            <a:stCxn id="80" idx="3"/>
            <a:endCxn id="8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216736</xdr:colOff>
      <xdr:row>26</xdr:row>
      <xdr:rowOff>64564</xdr:rowOff>
    </xdr:from>
    <xdr:to>
      <xdr:col>10</xdr:col>
      <xdr:colOff>360736</xdr:colOff>
      <xdr:row>27</xdr:row>
      <xdr:rowOff>54698</xdr:rowOff>
    </xdr:to>
    <xdr:grpSp>
      <xdr:nvGrpSpPr>
        <xdr:cNvPr id="83" name="Group 14">
          <a:extLst>
            <a:ext uri="{FF2B5EF4-FFF2-40B4-BE49-F238E27FC236}">
              <a16:creationId xmlns:a16="http://schemas.microsoft.com/office/drawing/2014/main" id="{D2EE1449-0572-42E8-A970-C59D51206112}"/>
            </a:ext>
          </a:extLst>
        </xdr:cNvPr>
        <xdr:cNvGrpSpPr/>
      </xdr:nvGrpSpPr>
      <xdr:grpSpPr>
        <a:xfrm rot="20200737">
          <a:off x="3579475" y="3957390"/>
          <a:ext cx="144000" cy="139221"/>
          <a:chOff x="9937028" y="802652"/>
          <a:chExt cx="83991" cy="77961"/>
        </a:xfrm>
      </xdr:grpSpPr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0F0F7494-1275-68F9-F0C0-F52AB479FEF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651F4907-78D6-19F1-78B0-995DBCD7C0A2}"/>
              </a:ext>
            </a:extLst>
          </xdr:cNvPr>
          <xdr:cNvCxnSpPr>
            <a:stCxn id="84" idx="1"/>
            <a:endCxn id="8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3B5A6EC8-F384-067F-CE67-223B6E6CDBA7}"/>
              </a:ext>
            </a:extLst>
          </xdr:cNvPr>
          <xdr:cNvCxnSpPr>
            <a:stCxn id="84" idx="3"/>
            <a:endCxn id="8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99430</xdr:colOff>
      <xdr:row>32</xdr:row>
      <xdr:rowOff>92672</xdr:rowOff>
    </xdr:from>
    <xdr:to>
      <xdr:col>9</xdr:col>
      <xdr:colOff>243430</xdr:colOff>
      <xdr:row>33</xdr:row>
      <xdr:rowOff>82807</xdr:rowOff>
    </xdr:to>
    <xdr:grpSp>
      <xdr:nvGrpSpPr>
        <xdr:cNvPr id="87" name="Group 14">
          <a:extLst>
            <a:ext uri="{FF2B5EF4-FFF2-40B4-BE49-F238E27FC236}">
              <a16:creationId xmlns:a16="http://schemas.microsoft.com/office/drawing/2014/main" id="{DE5BBFF3-0A4C-4EEF-8891-004E4D438672}"/>
            </a:ext>
          </a:extLst>
        </xdr:cNvPr>
        <xdr:cNvGrpSpPr/>
      </xdr:nvGrpSpPr>
      <xdr:grpSpPr>
        <a:xfrm rot="21320996">
          <a:off x="3081169" y="4880020"/>
          <a:ext cx="144000" cy="139222"/>
          <a:chOff x="9937028" y="802652"/>
          <a:chExt cx="83991" cy="77961"/>
        </a:xfrm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8F0A7F42-864C-8055-50F2-171CEA591BC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28A291FD-27AA-1BFE-5E0E-012DB4E286C3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6C85F6F-1DC4-3EEF-B762-766DEF84341A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43024</xdr:colOff>
      <xdr:row>39</xdr:row>
      <xdr:rowOff>46128</xdr:rowOff>
    </xdr:from>
    <xdr:to>
      <xdr:col>8</xdr:col>
      <xdr:colOff>187024</xdr:colOff>
      <xdr:row>40</xdr:row>
      <xdr:rowOff>39041</xdr:rowOff>
    </xdr:to>
    <xdr:grpSp>
      <xdr:nvGrpSpPr>
        <xdr:cNvPr id="91" name="Group 14">
          <a:extLst>
            <a:ext uri="{FF2B5EF4-FFF2-40B4-BE49-F238E27FC236}">
              <a16:creationId xmlns:a16="http://schemas.microsoft.com/office/drawing/2014/main" id="{3E1B990F-E5D5-485F-9F7B-EFB2F3BFC4E8}"/>
            </a:ext>
          </a:extLst>
        </xdr:cNvPr>
        <xdr:cNvGrpSpPr/>
      </xdr:nvGrpSpPr>
      <xdr:grpSpPr>
        <a:xfrm rot="20766938">
          <a:off x="2643763" y="5877085"/>
          <a:ext cx="144000" cy="141999"/>
          <a:chOff x="9937028" y="802652"/>
          <a:chExt cx="83991" cy="77961"/>
        </a:xfrm>
      </xdr:grpSpPr>
      <xdr:sp macro="" textlink="">
        <xdr:nvSpPr>
          <xdr:cNvPr id="92" name="Oval 91">
            <a:extLst>
              <a:ext uri="{FF2B5EF4-FFF2-40B4-BE49-F238E27FC236}">
                <a16:creationId xmlns:a16="http://schemas.microsoft.com/office/drawing/2014/main" id="{B5B44E51-5E9C-C0B1-76B7-250D2773875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7769435D-6212-3469-9264-85EEE950B677}"/>
              </a:ext>
            </a:extLst>
          </xdr:cNvPr>
          <xdr:cNvCxnSpPr>
            <a:stCxn id="92" idx="1"/>
            <a:endCxn id="9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A406C3FE-2AD8-EBAD-65C1-A2DBEA0F12F1}"/>
              </a:ext>
            </a:extLst>
          </xdr:cNvPr>
          <xdr:cNvCxnSpPr>
            <a:stCxn id="92" idx="3"/>
            <a:endCxn id="9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116982</xdr:colOff>
      <xdr:row>51</xdr:row>
      <xdr:rowOff>47795</xdr:rowOff>
    </xdr:from>
    <xdr:to>
      <xdr:col>6</xdr:col>
      <xdr:colOff>260982</xdr:colOff>
      <xdr:row>52</xdr:row>
      <xdr:rowOff>40708</xdr:rowOff>
    </xdr:to>
    <xdr:grpSp>
      <xdr:nvGrpSpPr>
        <xdr:cNvPr id="95" name="Group 14">
          <a:extLst>
            <a:ext uri="{FF2B5EF4-FFF2-40B4-BE49-F238E27FC236}">
              <a16:creationId xmlns:a16="http://schemas.microsoft.com/office/drawing/2014/main" id="{F7BCB5CF-F57A-4BD7-B13A-BC6325F17020}"/>
            </a:ext>
          </a:extLst>
        </xdr:cNvPr>
        <xdr:cNvGrpSpPr/>
      </xdr:nvGrpSpPr>
      <xdr:grpSpPr>
        <a:xfrm rot="20770519">
          <a:off x="1955721" y="7667795"/>
          <a:ext cx="144000" cy="142000"/>
          <a:chOff x="9937028" y="802652"/>
          <a:chExt cx="83991" cy="77961"/>
        </a:xfrm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B1C18999-C983-9D63-180F-22B02470ADD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2C7A08AC-63EE-5C9F-B243-4AA749BB71C4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A8C4EAF-973B-2383-82E2-1DE327B82BA3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33711</xdr:colOff>
      <xdr:row>46</xdr:row>
      <xdr:rowOff>31374</xdr:rowOff>
    </xdr:from>
    <xdr:to>
      <xdr:col>7</xdr:col>
      <xdr:colOff>177711</xdr:colOff>
      <xdr:row>47</xdr:row>
      <xdr:rowOff>21507</xdr:rowOff>
    </xdr:to>
    <xdr:grpSp>
      <xdr:nvGrpSpPr>
        <xdr:cNvPr id="99" name="Group 14">
          <a:extLst>
            <a:ext uri="{FF2B5EF4-FFF2-40B4-BE49-F238E27FC236}">
              <a16:creationId xmlns:a16="http://schemas.microsoft.com/office/drawing/2014/main" id="{563E50FF-5316-493C-A90F-5D659D716ADC}"/>
            </a:ext>
          </a:extLst>
        </xdr:cNvPr>
        <xdr:cNvGrpSpPr/>
      </xdr:nvGrpSpPr>
      <xdr:grpSpPr>
        <a:xfrm rot="20479216">
          <a:off x="2253450" y="6905939"/>
          <a:ext cx="144000" cy="139220"/>
          <a:chOff x="9937028" y="802652"/>
          <a:chExt cx="83991" cy="77961"/>
        </a:xfrm>
      </xdr:grpSpPr>
      <xdr:sp macro="" textlink="">
        <xdr:nvSpPr>
          <xdr:cNvPr id="100" name="Oval 99">
            <a:extLst>
              <a:ext uri="{FF2B5EF4-FFF2-40B4-BE49-F238E27FC236}">
                <a16:creationId xmlns:a16="http://schemas.microsoft.com/office/drawing/2014/main" id="{2D61ECA1-BB07-7633-1E85-9F3926545C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F9BDEAF1-2909-7097-4CFC-383E16E03AC5}"/>
              </a:ext>
            </a:extLst>
          </xdr:cNvPr>
          <xdr:cNvCxnSpPr>
            <a:stCxn id="100" idx="1"/>
            <a:endCxn id="10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D3BA96E7-28D3-0A20-254E-B5275B132A1D}"/>
              </a:ext>
            </a:extLst>
          </xdr:cNvPr>
          <xdr:cNvCxnSpPr>
            <a:stCxn id="100" idx="3"/>
            <a:endCxn id="10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242432</xdr:colOff>
      <xdr:row>4</xdr:row>
      <xdr:rowOff>92424</xdr:rowOff>
    </xdr:from>
    <xdr:to>
      <xdr:col>11</xdr:col>
      <xdr:colOff>5432</xdr:colOff>
      <xdr:row>5</xdr:row>
      <xdr:rowOff>82560</xdr:rowOff>
    </xdr:to>
    <xdr:grpSp>
      <xdr:nvGrpSpPr>
        <xdr:cNvPr id="103" name="Group 14">
          <a:extLst>
            <a:ext uri="{FF2B5EF4-FFF2-40B4-BE49-F238E27FC236}">
              <a16:creationId xmlns:a16="http://schemas.microsoft.com/office/drawing/2014/main" id="{A4CB944E-136A-4E2C-BF7E-4B7427D0DD4F}"/>
            </a:ext>
          </a:extLst>
        </xdr:cNvPr>
        <xdr:cNvGrpSpPr/>
      </xdr:nvGrpSpPr>
      <xdr:grpSpPr>
        <a:xfrm rot="19763988">
          <a:off x="3605171" y="705337"/>
          <a:ext cx="144000" cy="139223"/>
          <a:chOff x="9937028" y="802652"/>
          <a:chExt cx="83991" cy="77961"/>
        </a:xfrm>
      </xdr:grpSpPr>
      <xdr:sp macro="" textlink="">
        <xdr:nvSpPr>
          <xdr:cNvPr id="104" name="Oval 103">
            <a:extLst>
              <a:ext uri="{FF2B5EF4-FFF2-40B4-BE49-F238E27FC236}">
                <a16:creationId xmlns:a16="http://schemas.microsoft.com/office/drawing/2014/main" id="{D290CE05-91D2-B9EB-CC26-5EAB8D66DCC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E9F738F0-9340-83BE-4A4A-96615E91CBB1}"/>
              </a:ext>
            </a:extLst>
          </xdr:cNvPr>
          <xdr:cNvCxnSpPr>
            <a:stCxn id="104" idx="1"/>
            <a:endCxn id="10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71656AA2-B36F-BFBD-67B5-6255EEBE66A1}"/>
              </a:ext>
            </a:extLst>
          </xdr:cNvPr>
          <xdr:cNvCxnSpPr>
            <a:stCxn id="104" idx="3"/>
            <a:endCxn id="10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88266</xdr:colOff>
      <xdr:row>7</xdr:row>
      <xdr:rowOff>79070</xdr:rowOff>
    </xdr:from>
    <xdr:to>
      <xdr:col>17</xdr:col>
      <xdr:colOff>232266</xdr:colOff>
      <xdr:row>8</xdr:row>
      <xdr:rowOff>69205</xdr:rowOff>
    </xdr:to>
    <xdr:grpSp>
      <xdr:nvGrpSpPr>
        <xdr:cNvPr id="107" name="Group 14">
          <a:extLst>
            <a:ext uri="{FF2B5EF4-FFF2-40B4-BE49-F238E27FC236}">
              <a16:creationId xmlns:a16="http://schemas.microsoft.com/office/drawing/2014/main" id="{4CE68F3B-366D-40EB-9B4A-54C7C18E3044}"/>
            </a:ext>
          </a:extLst>
        </xdr:cNvPr>
        <xdr:cNvGrpSpPr/>
      </xdr:nvGrpSpPr>
      <xdr:grpSpPr>
        <a:xfrm rot="19170348">
          <a:off x="6118005" y="1139244"/>
          <a:ext cx="144000" cy="139222"/>
          <a:chOff x="9937028" y="802652"/>
          <a:chExt cx="83991" cy="77961"/>
        </a:xfrm>
      </xdr:grpSpPr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65912800-FC79-29FE-324F-B638B7851C9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8BBDD85-8092-AA78-127C-5F07B9C2F716}"/>
              </a:ext>
            </a:extLst>
          </xdr:cNvPr>
          <xdr:cNvCxnSpPr>
            <a:stCxn id="108" idx="1"/>
            <a:endCxn id="108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86B72C2D-63D7-E178-B53E-0F66649C198B}"/>
              </a:ext>
            </a:extLst>
          </xdr:cNvPr>
          <xdr:cNvCxnSpPr>
            <a:stCxn id="108" idx="3"/>
            <a:endCxn id="108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214935</xdr:colOff>
      <xdr:row>39</xdr:row>
      <xdr:rowOff>32600</xdr:rowOff>
    </xdr:from>
    <xdr:to>
      <xdr:col>7</xdr:col>
      <xdr:colOff>358935</xdr:colOff>
      <xdr:row>40</xdr:row>
      <xdr:rowOff>21818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38553EBC-CE66-4B7B-82A9-445100B47C90}"/>
            </a:ext>
          </a:extLst>
        </xdr:cNvPr>
        <xdr:cNvSpPr/>
      </xdr:nvSpPr>
      <xdr:spPr>
        <a:xfrm>
          <a:off x="2424735" y="5985725"/>
          <a:ext cx="144000" cy="14161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2671</xdr:colOff>
      <xdr:row>5</xdr:row>
      <xdr:rowOff>29009</xdr:rowOff>
    </xdr:from>
    <xdr:to>
      <xdr:col>13</xdr:col>
      <xdr:colOff>373807</xdr:colOff>
      <xdr:row>7</xdr:row>
      <xdr:rowOff>29677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84E035CA-0557-4BA7-9873-AFA5D46D565D}"/>
            </a:ext>
          </a:extLst>
        </xdr:cNvPr>
        <xdr:cNvCxnSpPr>
          <a:stCxn id="104" idx="5"/>
          <a:endCxn id="72" idx="1"/>
        </xdr:cNvCxnSpPr>
      </xdr:nvCxnSpPr>
      <xdr:spPr>
        <a:xfrm>
          <a:off x="3736471" y="800534"/>
          <a:ext cx="1133136" cy="30546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128799</xdr:colOff>
      <xdr:row>7</xdr:row>
      <xdr:rowOff>72645</xdr:rowOff>
    </xdr:from>
    <xdr:to>
      <xdr:col>17</xdr:col>
      <xdr:colOff>89126</xdr:colOff>
      <xdr:row>7</xdr:row>
      <xdr:rowOff>144771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9015BE45-BE93-4318-8C9B-1882CB842C9F}"/>
            </a:ext>
          </a:extLst>
        </xdr:cNvPr>
        <xdr:cNvCxnSpPr>
          <a:stCxn id="72" idx="5"/>
          <a:endCxn id="108" idx="1"/>
        </xdr:cNvCxnSpPr>
      </xdr:nvCxnSpPr>
      <xdr:spPr>
        <a:xfrm>
          <a:off x="5005599" y="1148970"/>
          <a:ext cx="1103327" cy="7212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222497</xdr:colOff>
      <xdr:row>24</xdr:row>
      <xdr:rowOff>56613</xdr:rowOff>
    </xdr:from>
    <xdr:to>
      <xdr:col>10</xdr:col>
      <xdr:colOff>360107</xdr:colOff>
      <xdr:row>26</xdr:row>
      <xdr:rowOff>109129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EF9EEABA-75CA-4422-93F3-CA1C16562F7D}"/>
            </a:ext>
          </a:extLst>
        </xdr:cNvPr>
        <xdr:cNvCxnSpPr>
          <a:stCxn id="84" idx="1"/>
          <a:endCxn id="212" idx="2"/>
        </xdr:cNvCxnSpPr>
      </xdr:nvCxnSpPr>
      <xdr:spPr>
        <a:xfrm flipV="1">
          <a:off x="3575297" y="3723738"/>
          <a:ext cx="137610" cy="357316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116581</xdr:colOff>
      <xdr:row>26</xdr:row>
      <xdr:rowOff>109829</xdr:rowOff>
    </xdr:from>
    <xdr:to>
      <xdr:col>10</xdr:col>
      <xdr:colOff>221938</xdr:colOff>
      <xdr:row>32</xdr:row>
      <xdr:rowOff>117939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BCD60A61-E16E-4FDA-9305-24D712258935}"/>
            </a:ext>
          </a:extLst>
        </xdr:cNvPr>
        <xdr:cNvCxnSpPr>
          <a:stCxn id="88" idx="1"/>
          <a:endCxn id="84" idx="1"/>
        </xdr:cNvCxnSpPr>
      </xdr:nvCxnSpPr>
      <xdr:spPr>
        <a:xfrm flipV="1">
          <a:off x="3088381" y="4081754"/>
          <a:ext cx="486357" cy="92251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53383</xdr:colOff>
      <xdr:row>32</xdr:row>
      <xdr:rowOff>117645</xdr:rowOff>
    </xdr:from>
    <xdr:to>
      <xdr:col>9</xdr:col>
      <xdr:colOff>116638</xdr:colOff>
      <xdr:row>39</xdr:row>
      <xdr:rowOff>80921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79DBDDCB-2A44-4733-AF01-18F641915AE4}"/>
            </a:ext>
          </a:extLst>
        </xdr:cNvPr>
        <xdr:cNvCxnSpPr>
          <a:stCxn id="92" idx="1"/>
          <a:endCxn id="88" idx="1"/>
        </xdr:cNvCxnSpPr>
      </xdr:nvCxnSpPr>
      <xdr:spPr>
        <a:xfrm flipV="1">
          <a:off x="2644183" y="5003970"/>
          <a:ext cx="444255" cy="1030076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177459</xdr:colOff>
      <xdr:row>11</xdr:row>
      <xdr:rowOff>143816</xdr:rowOff>
    </xdr:from>
    <xdr:to>
      <xdr:col>13</xdr:col>
      <xdr:colOff>68457</xdr:colOff>
      <xdr:row>16</xdr:row>
      <xdr:rowOff>40021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62776BC6-C70A-451C-83AE-8AF11EDB8C4E}"/>
            </a:ext>
          </a:extLst>
        </xdr:cNvPr>
        <xdr:cNvCxnSpPr>
          <a:stCxn id="80" idx="5"/>
          <a:endCxn id="176" idx="4"/>
        </xdr:cNvCxnSpPr>
      </xdr:nvCxnSpPr>
      <xdr:spPr>
        <a:xfrm flipV="1">
          <a:off x="4292259" y="1829741"/>
          <a:ext cx="271998" cy="6582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69578</xdr:colOff>
      <xdr:row>7</xdr:row>
      <xdr:rowOff>118042</xdr:rowOff>
    </xdr:from>
    <xdr:to>
      <xdr:col>14</xdr:col>
      <xdr:colOff>38589</xdr:colOff>
      <xdr:row>11</xdr:row>
      <xdr:rowOff>10059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20A6EC7E-000F-4816-9D26-F85F2A05800B}"/>
            </a:ext>
          </a:extLst>
        </xdr:cNvPr>
        <xdr:cNvCxnSpPr>
          <a:stCxn id="176" idx="7"/>
          <a:endCxn id="72" idx="3"/>
        </xdr:cNvCxnSpPr>
      </xdr:nvCxnSpPr>
      <xdr:spPr>
        <a:xfrm flipV="1">
          <a:off x="4565378" y="1194367"/>
          <a:ext cx="350011" cy="5016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127818</xdr:colOff>
      <xdr:row>11</xdr:row>
      <xdr:rowOff>143107</xdr:rowOff>
    </xdr:from>
    <xdr:to>
      <xdr:col>13</xdr:col>
      <xdr:colOff>13304</xdr:colOff>
      <xdr:row>15</xdr:row>
      <xdr:rowOff>105158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D918001A-392D-4A7D-AC60-E8522EA5096C}"/>
            </a:ext>
          </a:extLst>
        </xdr:cNvPr>
        <xdr:cNvCxnSpPr>
          <a:stCxn id="80" idx="7"/>
          <a:endCxn id="176" idx="3"/>
        </xdr:cNvCxnSpPr>
      </xdr:nvCxnSpPr>
      <xdr:spPr>
        <a:xfrm flipV="1">
          <a:off x="4242618" y="1829032"/>
          <a:ext cx="266486" cy="57165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215596</xdr:colOff>
      <xdr:row>16</xdr:row>
      <xdr:rowOff>90434</xdr:rowOff>
    </xdr:from>
    <xdr:to>
      <xdr:col>12</xdr:col>
      <xdr:colOff>87405</xdr:colOff>
      <xdr:row>20</xdr:row>
      <xdr:rowOff>126086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5AF4F24B-30A4-4D9C-9D4F-8D8616E7DD3C}"/>
            </a:ext>
          </a:extLst>
        </xdr:cNvPr>
        <xdr:cNvCxnSpPr>
          <a:stCxn id="76" idx="0"/>
          <a:endCxn id="80" idx="3"/>
        </xdr:cNvCxnSpPr>
      </xdr:nvCxnSpPr>
      <xdr:spPr>
        <a:xfrm flipV="1">
          <a:off x="3949396" y="2538359"/>
          <a:ext cx="252809" cy="64525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316002</xdr:colOff>
      <xdr:row>24</xdr:row>
      <xdr:rowOff>138081</xdr:rowOff>
    </xdr:from>
    <xdr:to>
      <xdr:col>11</xdr:col>
      <xdr:colOff>37352</xdr:colOff>
      <xdr:row>26</xdr:row>
      <xdr:rowOff>68818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AA4DDB52-BEF4-439F-834B-DB4D194AA0C7}"/>
            </a:ext>
          </a:extLst>
        </xdr:cNvPr>
        <xdr:cNvCxnSpPr>
          <a:stCxn id="84" idx="7"/>
          <a:endCxn id="212" idx="4"/>
        </xdr:cNvCxnSpPr>
      </xdr:nvCxnSpPr>
      <xdr:spPr>
        <a:xfrm flipV="1">
          <a:off x="3668802" y="3805206"/>
          <a:ext cx="102350" cy="23553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256172</xdr:colOff>
      <xdr:row>16</xdr:row>
      <xdr:rowOff>41107</xdr:rowOff>
    </xdr:from>
    <xdr:to>
      <xdr:col>12</xdr:col>
      <xdr:colOff>176483</xdr:colOff>
      <xdr:row>21</xdr:row>
      <xdr:rowOff>13896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20BBCCE8-F7C0-416B-868D-736B953A4040}"/>
            </a:ext>
          </a:extLst>
        </xdr:cNvPr>
        <xdr:cNvCxnSpPr>
          <a:stCxn id="76" idx="7"/>
          <a:endCxn id="80" idx="5"/>
        </xdr:cNvCxnSpPr>
      </xdr:nvCxnSpPr>
      <xdr:spPr>
        <a:xfrm flipV="1">
          <a:off x="3989972" y="2489032"/>
          <a:ext cx="301311" cy="7347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354975</xdr:colOff>
      <xdr:row>24</xdr:row>
      <xdr:rowOff>82617</xdr:rowOff>
    </xdr:from>
    <xdr:to>
      <xdr:col>11</xdr:col>
      <xdr:colOff>120739</xdr:colOff>
      <xdr:row>27</xdr:row>
      <xdr:rowOff>10133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E6F8E7B0-23AA-4A5A-9FDD-E6F5B93E7008}"/>
            </a:ext>
          </a:extLst>
        </xdr:cNvPr>
        <xdr:cNvCxnSpPr>
          <a:stCxn id="212" idx="6"/>
          <a:endCxn id="84" idx="5"/>
        </xdr:cNvCxnSpPr>
      </xdr:nvCxnSpPr>
      <xdr:spPr>
        <a:xfrm flipH="1">
          <a:off x="3707775" y="3749742"/>
          <a:ext cx="146764" cy="3847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226279</xdr:colOff>
      <xdr:row>27</xdr:row>
      <xdr:rowOff>9433</xdr:rowOff>
    </xdr:from>
    <xdr:to>
      <xdr:col>10</xdr:col>
      <xdr:colOff>355534</xdr:colOff>
      <xdr:row>33</xdr:row>
      <xdr:rowOff>57540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0172264D-1C39-4F20-90B1-57AFEAA01A9A}"/>
            </a:ext>
          </a:extLst>
        </xdr:cNvPr>
        <xdr:cNvCxnSpPr>
          <a:stCxn id="88" idx="5"/>
          <a:endCxn id="84" idx="5"/>
        </xdr:cNvCxnSpPr>
      </xdr:nvCxnSpPr>
      <xdr:spPr>
        <a:xfrm flipV="1">
          <a:off x="3198079" y="4133758"/>
          <a:ext cx="510255" cy="96250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176665</xdr:colOff>
      <xdr:row>33</xdr:row>
      <xdr:rowOff>57834</xdr:rowOff>
    </xdr:from>
    <xdr:to>
      <xdr:col>9</xdr:col>
      <xdr:colOff>226222</xdr:colOff>
      <xdr:row>40</xdr:row>
      <xdr:rowOff>4248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239B4BDA-43FC-42AC-A9F3-AA79DF0328F1}"/>
            </a:ext>
          </a:extLst>
        </xdr:cNvPr>
        <xdr:cNvCxnSpPr>
          <a:stCxn id="92" idx="5"/>
          <a:endCxn id="88" idx="5"/>
        </xdr:cNvCxnSpPr>
      </xdr:nvCxnSpPr>
      <xdr:spPr>
        <a:xfrm flipV="1">
          <a:off x="2767465" y="5096559"/>
          <a:ext cx="430557" cy="10132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169932</xdr:colOff>
      <xdr:row>40</xdr:row>
      <xdr:rowOff>4248</xdr:rowOff>
    </xdr:from>
    <xdr:to>
      <xdr:col>8</xdr:col>
      <xdr:colOff>176665</xdr:colOff>
      <xdr:row>46</xdr:row>
      <xdr:rowOff>132977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283DCC3B-C556-4767-A869-DDA4219308AE}"/>
            </a:ext>
          </a:extLst>
        </xdr:cNvPr>
        <xdr:cNvCxnSpPr>
          <a:stCxn id="100" idx="5"/>
          <a:endCxn id="92" idx="5"/>
        </xdr:cNvCxnSpPr>
      </xdr:nvCxnSpPr>
      <xdr:spPr>
        <a:xfrm flipV="1">
          <a:off x="2379732" y="6109773"/>
          <a:ext cx="387733" cy="10431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41490</xdr:colOff>
      <xdr:row>39</xdr:row>
      <xdr:rowOff>80921</xdr:rowOff>
    </xdr:from>
    <xdr:to>
      <xdr:col>8</xdr:col>
      <xdr:colOff>53383</xdr:colOff>
      <xdr:row>46</xdr:row>
      <xdr:rowOff>70991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1F73F765-BB93-4009-928D-F6AEB4073DF8}"/>
            </a:ext>
          </a:extLst>
        </xdr:cNvPr>
        <xdr:cNvCxnSpPr>
          <a:stCxn id="100" idx="1"/>
          <a:endCxn id="92" idx="1"/>
        </xdr:cNvCxnSpPr>
      </xdr:nvCxnSpPr>
      <xdr:spPr>
        <a:xfrm flipV="1">
          <a:off x="2251290" y="6034046"/>
          <a:ext cx="392893" cy="10568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119068</xdr:colOff>
      <xdr:row>46</xdr:row>
      <xdr:rowOff>70991</xdr:rowOff>
    </xdr:from>
    <xdr:to>
      <xdr:col>7</xdr:col>
      <xdr:colOff>41490</xdr:colOff>
      <xdr:row>51</xdr:row>
      <xdr:rowOff>137000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456B8A42-C21B-416D-975C-DF7D1160238D}"/>
            </a:ext>
          </a:extLst>
        </xdr:cNvPr>
        <xdr:cNvCxnSpPr>
          <a:stCxn id="96" idx="2"/>
          <a:endCxn id="100" idx="1"/>
        </xdr:cNvCxnSpPr>
      </xdr:nvCxnSpPr>
      <xdr:spPr>
        <a:xfrm flipV="1">
          <a:off x="1947868" y="7090916"/>
          <a:ext cx="303422" cy="828009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250032</xdr:colOff>
      <xdr:row>51</xdr:row>
      <xdr:rowOff>83102</xdr:rowOff>
    </xdr:from>
    <xdr:to>
      <xdr:col>6</xdr:col>
      <xdr:colOff>127067</xdr:colOff>
      <xdr:row>56</xdr:row>
      <xdr:rowOff>17859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8BF8A3F1-5E47-4FE5-81F6-8EC599BDD806}"/>
            </a:ext>
          </a:extLst>
        </xdr:cNvPr>
        <xdr:cNvCxnSpPr>
          <a:endCxn id="96" idx="1"/>
        </xdr:cNvCxnSpPr>
      </xdr:nvCxnSpPr>
      <xdr:spPr>
        <a:xfrm flipV="1">
          <a:off x="1697832" y="7865027"/>
          <a:ext cx="258035" cy="696757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250585</xdr:colOff>
      <xdr:row>46</xdr:row>
      <xdr:rowOff>132977</xdr:rowOff>
    </xdr:from>
    <xdr:to>
      <xdr:col>7</xdr:col>
      <xdr:colOff>169932</xdr:colOff>
      <xdr:row>52</xdr:row>
      <xdr:rowOff>5980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2C7F2ADF-5119-48BA-9B8C-3F58D9D5A539}"/>
            </a:ext>
          </a:extLst>
        </xdr:cNvPr>
        <xdr:cNvCxnSpPr>
          <a:stCxn id="96" idx="5"/>
          <a:endCxn id="100" idx="5"/>
        </xdr:cNvCxnSpPr>
      </xdr:nvCxnSpPr>
      <xdr:spPr>
        <a:xfrm flipV="1">
          <a:off x="2079385" y="7152902"/>
          <a:ext cx="300347" cy="78740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375047</xdr:colOff>
      <xdr:row>52</xdr:row>
      <xdr:rowOff>5401</xdr:rowOff>
    </xdr:from>
    <xdr:to>
      <xdr:col>6</xdr:col>
      <xdr:colOff>250897</xdr:colOff>
      <xdr:row>56</xdr:row>
      <xdr:rowOff>65484</xdr:rowOff>
    </xdr:to>
    <xdr:cxnSp macro="">
      <xdr:nvCxnSpPr>
        <xdr:cNvPr id="131" name="Straight Connector 130">
          <a:extLst>
            <a:ext uri="{FF2B5EF4-FFF2-40B4-BE49-F238E27FC236}">
              <a16:creationId xmlns:a16="http://schemas.microsoft.com/office/drawing/2014/main" id="{52E96B8B-859D-4915-BF75-026DE601A942}"/>
            </a:ext>
          </a:extLst>
        </xdr:cNvPr>
        <xdr:cNvCxnSpPr>
          <a:endCxn id="96" idx="5"/>
        </xdr:cNvCxnSpPr>
      </xdr:nvCxnSpPr>
      <xdr:spPr>
        <a:xfrm flipV="1">
          <a:off x="1822847" y="7939726"/>
          <a:ext cx="256850" cy="6696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247228</xdr:colOff>
      <xdr:row>14</xdr:row>
      <xdr:rowOff>18016</xdr:rowOff>
    </xdr:from>
    <xdr:to>
      <xdr:col>12</xdr:col>
      <xdr:colOff>319228</xdr:colOff>
      <xdr:row>14</xdr:row>
      <xdr:rowOff>126016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4AF9F138-83DF-48C9-ACCF-7B80030F7820}"/>
            </a:ext>
          </a:extLst>
        </xdr:cNvPr>
        <xdr:cNvGrpSpPr/>
      </xdr:nvGrpSpPr>
      <xdr:grpSpPr>
        <a:xfrm rot="17412074">
          <a:off x="4353967" y="2139799"/>
          <a:ext cx="108000" cy="72000"/>
          <a:chOff x="13029613" y="2289822"/>
          <a:chExt cx="107252" cy="65187"/>
        </a:xfrm>
      </xdr:grpSpPr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C812F1D-0B3F-F28E-3BD1-3583CEE99E0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50">
            <a:extLst>
              <a:ext uri="{FF2B5EF4-FFF2-40B4-BE49-F238E27FC236}">
                <a16:creationId xmlns:a16="http://schemas.microsoft.com/office/drawing/2014/main" id="{7AF2F39D-F768-1265-C6FC-602240462227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C8B4961A-BBCD-C0B9-AB71-20461148D46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9468</xdr:colOff>
      <xdr:row>18</xdr:row>
      <xdr:rowOff>42461</xdr:rowOff>
    </xdr:from>
    <xdr:to>
      <xdr:col>12</xdr:col>
      <xdr:colOff>81468</xdr:colOff>
      <xdr:row>18</xdr:row>
      <xdr:rowOff>150461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1312D4DA-4745-40B4-BF85-A23688EA7693}"/>
            </a:ext>
          </a:extLst>
        </xdr:cNvPr>
        <xdr:cNvGrpSpPr/>
      </xdr:nvGrpSpPr>
      <xdr:grpSpPr>
        <a:xfrm rot="16998572">
          <a:off x="4116207" y="2760591"/>
          <a:ext cx="108000" cy="72000"/>
          <a:chOff x="13029613" y="2289822"/>
          <a:chExt cx="107252" cy="65187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330217A0-7D2D-418B-D28C-C9170605E124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50">
            <a:extLst>
              <a:ext uri="{FF2B5EF4-FFF2-40B4-BE49-F238E27FC236}">
                <a16:creationId xmlns:a16="http://schemas.microsoft.com/office/drawing/2014/main" id="{0B37A53C-3DC6-F7D9-ABF5-8517CEA25EC2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AE63D92-FB1D-F3E3-0C36-11B3B680C8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126567</xdr:colOff>
      <xdr:row>29</xdr:row>
      <xdr:rowOff>60686</xdr:rowOff>
    </xdr:from>
    <xdr:to>
      <xdr:col>10</xdr:col>
      <xdr:colOff>198567</xdr:colOff>
      <xdr:row>30</xdr:row>
      <xdr:rowOff>17600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id="{A4B84E38-6FEB-49BF-99C5-F2A6EE8BCF1D}"/>
            </a:ext>
          </a:extLst>
        </xdr:cNvPr>
        <xdr:cNvGrpSpPr/>
      </xdr:nvGrpSpPr>
      <xdr:grpSpPr>
        <a:xfrm rot="18202772">
          <a:off x="3472305" y="4417774"/>
          <a:ext cx="106001" cy="72000"/>
          <a:chOff x="13029613" y="2289822"/>
          <a:chExt cx="107252" cy="65187"/>
        </a:xfrm>
      </xdr:grpSpPr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6FC2DD71-49A0-66E3-7C02-62E550218E8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50">
            <a:extLst>
              <a:ext uri="{FF2B5EF4-FFF2-40B4-BE49-F238E27FC236}">
                <a16:creationId xmlns:a16="http://schemas.microsoft.com/office/drawing/2014/main" id="{4798BFBC-6B9A-7819-92F0-FA7651FE81BD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45A301EC-EB1B-4CE4-6688-B34F8DC37EE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32218</xdr:colOff>
      <xdr:row>34</xdr:row>
      <xdr:rowOff>128657</xdr:rowOff>
    </xdr:from>
    <xdr:to>
      <xdr:col>9</xdr:col>
      <xdr:colOff>104218</xdr:colOff>
      <xdr:row>37</xdr:row>
      <xdr:rowOff>85571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35BCB4A8-F034-4DAD-A033-E554CBB09F16}"/>
            </a:ext>
          </a:extLst>
        </xdr:cNvPr>
        <xdr:cNvGrpSpPr/>
      </xdr:nvGrpSpPr>
      <xdr:grpSpPr>
        <a:xfrm rot="17815269">
          <a:off x="2847869" y="5380267"/>
          <a:ext cx="404175" cy="72000"/>
          <a:chOff x="13029613" y="2289822"/>
          <a:chExt cx="107252" cy="65187"/>
        </a:xfrm>
      </xdr:grpSpPr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EF29A19D-E930-3DAB-54F9-9BDA450A3AA1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50">
            <a:extLst>
              <a:ext uri="{FF2B5EF4-FFF2-40B4-BE49-F238E27FC236}">
                <a16:creationId xmlns:a16="http://schemas.microsoft.com/office/drawing/2014/main" id="{B6B07214-39B1-3797-1546-6A17BB52A98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9394F67A-8A6F-5A40-912C-63AA94A4424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305485</xdr:colOff>
      <xdr:row>44</xdr:row>
      <xdr:rowOff>54324</xdr:rowOff>
    </xdr:from>
    <xdr:to>
      <xdr:col>7</xdr:col>
      <xdr:colOff>377485</xdr:colOff>
      <xdr:row>45</xdr:row>
      <xdr:rowOff>11238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C4EF750B-3EBC-4ABC-B9D4-C27ED64A80BB}"/>
            </a:ext>
          </a:extLst>
        </xdr:cNvPr>
        <xdr:cNvGrpSpPr/>
      </xdr:nvGrpSpPr>
      <xdr:grpSpPr>
        <a:xfrm rot="18128619">
          <a:off x="2508223" y="6647716"/>
          <a:ext cx="106001" cy="72000"/>
          <a:chOff x="13029613" y="2289822"/>
          <a:chExt cx="107252" cy="65187"/>
        </a:xfrm>
      </xdr:grpSpPr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482FDF2B-3A9A-536E-529A-D0A7186AB0F9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50">
            <a:extLst>
              <a:ext uri="{FF2B5EF4-FFF2-40B4-BE49-F238E27FC236}">
                <a16:creationId xmlns:a16="http://schemas.microsoft.com/office/drawing/2014/main" id="{00B766CE-0C0A-3A2B-F7F5-3450C38E1A9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D15746AA-D122-7E1E-55B3-942BFC3A757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353110</xdr:colOff>
      <xdr:row>49</xdr:row>
      <xdr:rowOff>45748</xdr:rowOff>
    </xdr:from>
    <xdr:to>
      <xdr:col>7</xdr:col>
      <xdr:colOff>44110</xdr:colOff>
      <xdr:row>50</xdr:row>
      <xdr:rowOff>2662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921DCFF6-2DDA-4810-8D51-E1D7E7FF7546}"/>
            </a:ext>
          </a:extLst>
        </xdr:cNvPr>
        <xdr:cNvGrpSpPr/>
      </xdr:nvGrpSpPr>
      <xdr:grpSpPr>
        <a:xfrm rot="17724407">
          <a:off x="2174848" y="7384575"/>
          <a:ext cx="106001" cy="72000"/>
          <a:chOff x="13029613" y="2289822"/>
          <a:chExt cx="107252" cy="65187"/>
        </a:xfrm>
      </xdr:grpSpPr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DC1C8BE9-96EE-9255-7D8E-DE4C448BE25E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50">
            <a:extLst>
              <a:ext uri="{FF2B5EF4-FFF2-40B4-BE49-F238E27FC236}">
                <a16:creationId xmlns:a16="http://schemas.microsoft.com/office/drawing/2014/main" id="{00969907-4F62-BDA2-72B1-7FF48B2BE6F8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CDADE086-8129-65C5-F637-FA1CE2FDFCEC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8553</xdr:colOff>
      <xdr:row>55</xdr:row>
      <xdr:rowOff>40778</xdr:rowOff>
    </xdr:from>
    <xdr:to>
      <xdr:col>6</xdr:col>
      <xdr:colOff>80553</xdr:colOff>
      <xdr:row>55</xdr:row>
      <xdr:rowOff>146779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79F9FF69-012B-4E71-B1EF-BC3ADCB2F2DC}"/>
            </a:ext>
          </a:extLst>
        </xdr:cNvPr>
        <xdr:cNvGrpSpPr/>
      </xdr:nvGrpSpPr>
      <xdr:grpSpPr>
        <a:xfrm rot="17724407">
          <a:off x="1830291" y="8274127"/>
          <a:ext cx="106001" cy="72000"/>
          <a:chOff x="13029613" y="2289822"/>
          <a:chExt cx="107252" cy="65187"/>
        </a:xfrm>
      </xdr:grpSpPr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67789611-AD5D-5AEE-28DE-5C4E74E1B85B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50">
            <a:extLst>
              <a:ext uri="{FF2B5EF4-FFF2-40B4-BE49-F238E27FC236}">
                <a16:creationId xmlns:a16="http://schemas.microsoft.com/office/drawing/2014/main" id="{AE3FEE8E-68BE-3A78-EB9E-83B6BCA39DD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E96F8D28-7CF9-9656-BE97-51E9BD49E5FB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250894</xdr:colOff>
      <xdr:row>2</xdr:row>
      <xdr:rowOff>81950</xdr:rowOff>
    </xdr:from>
    <xdr:to>
      <xdr:col>16</xdr:col>
      <xdr:colOff>274214</xdr:colOff>
      <xdr:row>8</xdr:row>
      <xdr:rowOff>45982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9500EAA6-F003-428A-99F7-2280EAD097F9}"/>
            </a:ext>
          </a:extLst>
        </xdr:cNvPr>
        <xdr:cNvSpPr txBox="1"/>
      </xdr:nvSpPr>
      <xdr:spPr>
        <a:xfrm>
          <a:off x="5127694" y="396275"/>
          <a:ext cx="785320" cy="878432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K2-621/362</a:t>
          </a:r>
        </a:p>
        <a:p>
          <a:pPr algn="l"/>
          <a:r>
            <a:rPr lang="en-ID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ID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CC2-A</a:t>
          </a:r>
        </a:p>
        <a:p>
          <a:pPr algn="l"/>
          <a:r>
            <a:rPr lang="en-ID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CM5-5</a:t>
          </a:r>
        </a:p>
        <a:p>
          <a:pPr algn="l"/>
          <a:r>
            <a:rPr lang="en-ID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ID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</a:t>
          </a:r>
        </a:p>
        <a:p>
          <a:pPr algn="l"/>
          <a:endParaRPr lang="en-ID" sz="800" u="non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81171</xdr:colOff>
      <xdr:row>5</xdr:row>
      <xdr:rowOff>6625</xdr:rowOff>
    </xdr:from>
    <xdr:to>
      <xdr:col>19</xdr:col>
      <xdr:colOff>104491</xdr:colOff>
      <xdr:row>6</xdr:row>
      <xdr:rowOff>89037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6BFE0AAC-41CA-415B-B515-FBF62FA4E082}"/>
            </a:ext>
          </a:extLst>
        </xdr:cNvPr>
        <xdr:cNvSpPr txBox="1"/>
      </xdr:nvSpPr>
      <xdr:spPr>
        <a:xfrm>
          <a:off x="6100971" y="778150"/>
          <a:ext cx="785320" cy="234812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K2-621/361</a:t>
          </a:r>
        </a:p>
      </xdr:txBody>
    </xdr:sp>
    <xdr:clientData/>
  </xdr:twoCellAnchor>
  <xdr:twoCellAnchor>
    <xdr:from>
      <xdr:col>11</xdr:col>
      <xdr:colOff>237297</xdr:colOff>
      <xdr:row>27</xdr:row>
      <xdr:rowOff>72058</xdr:rowOff>
    </xdr:from>
    <xdr:to>
      <xdr:col>12</xdr:col>
      <xdr:colOff>297</xdr:colOff>
      <xdr:row>28</xdr:row>
      <xdr:rowOff>71748</xdr:rowOff>
    </xdr:to>
    <xdr:grpSp>
      <xdr:nvGrpSpPr>
        <xdr:cNvPr id="162" name="Group 14">
          <a:extLst>
            <a:ext uri="{FF2B5EF4-FFF2-40B4-BE49-F238E27FC236}">
              <a16:creationId xmlns:a16="http://schemas.microsoft.com/office/drawing/2014/main" id="{892F2A19-68CD-4F6D-BBDC-294A40843045}"/>
            </a:ext>
          </a:extLst>
        </xdr:cNvPr>
        <xdr:cNvGrpSpPr/>
      </xdr:nvGrpSpPr>
      <xdr:grpSpPr>
        <a:xfrm>
          <a:off x="3981036" y="4113971"/>
          <a:ext cx="144000" cy="148777"/>
          <a:chOff x="9937028" y="802652"/>
          <a:chExt cx="83991" cy="77961"/>
        </a:xfrm>
      </xdr:grpSpPr>
      <xdr:sp macro="" textlink="">
        <xdr:nvSpPr>
          <xdr:cNvPr id="163" name="Oval 162">
            <a:extLst>
              <a:ext uri="{FF2B5EF4-FFF2-40B4-BE49-F238E27FC236}">
                <a16:creationId xmlns:a16="http://schemas.microsoft.com/office/drawing/2014/main" id="{F0B436FE-40CD-5719-AFB1-F1C4EFB73DF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513C6D07-7D2D-81DD-AF8A-FAAEE330954D}"/>
              </a:ext>
            </a:extLst>
          </xdr:cNvPr>
          <xdr:cNvCxnSpPr>
            <a:stCxn id="163" idx="1"/>
            <a:endCxn id="16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428E723E-72C1-693D-F831-4745E6C627DC}"/>
              </a:ext>
            </a:extLst>
          </xdr:cNvPr>
          <xdr:cNvCxnSpPr>
            <a:stCxn id="163" idx="3"/>
            <a:endCxn id="16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354854</xdr:colOff>
      <xdr:row>26</xdr:row>
      <xdr:rowOff>107667</xdr:rowOff>
    </xdr:from>
    <xdr:to>
      <xdr:col>11</xdr:col>
      <xdr:colOff>258385</xdr:colOff>
      <xdr:row>27</xdr:row>
      <xdr:rowOff>94431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76E4AAF5-75D7-4341-9EC8-C4B954F1FBB4}"/>
            </a:ext>
          </a:extLst>
        </xdr:cNvPr>
        <xdr:cNvCxnSpPr>
          <a:stCxn id="84" idx="6"/>
          <a:endCxn id="163" idx="1"/>
        </xdr:cNvCxnSpPr>
      </xdr:nvCxnSpPr>
      <xdr:spPr>
        <a:xfrm>
          <a:off x="3707654" y="4079592"/>
          <a:ext cx="284531" cy="13916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360209</xdr:colOff>
      <xdr:row>28</xdr:row>
      <xdr:rowOff>49260</xdr:rowOff>
    </xdr:from>
    <xdr:to>
      <xdr:col>12</xdr:col>
      <xdr:colOff>161192</xdr:colOff>
      <xdr:row>28</xdr:row>
      <xdr:rowOff>139212</xdr:rowOff>
    </xdr:to>
    <xdr:cxnSp macro="">
      <xdr:nvCxnSpPr>
        <xdr:cNvPr id="167" name="Straight Arrow Connector 166">
          <a:extLst>
            <a:ext uri="{FF2B5EF4-FFF2-40B4-BE49-F238E27FC236}">
              <a16:creationId xmlns:a16="http://schemas.microsoft.com/office/drawing/2014/main" id="{8C49DBA2-91DF-4891-A996-EB22270D0D87}"/>
            </a:ext>
          </a:extLst>
        </xdr:cNvPr>
        <xdr:cNvCxnSpPr>
          <a:stCxn id="163" idx="5"/>
        </xdr:cNvCxnSpPr>
      </xdr:nvCxnSpPr>
      <xdr:spPr>
        <a:xfrm>
          <a:off x="4094009" y="4325985"/>
          <a:ext cx="181983" cy="8995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45567</xdr:colOff>
      <xdr:row>14</xdr:row>
      <xdr:rowOff>20942</xdr:rowOff>
    </xdr:from>
    <xdr:to>
      <xdr:col>9</xdr:col>
      <xdr:colOff>42875</xdr:colOff>
      <xdr:row>23</xdr:row>
      <xdr:rowOff>0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A0F5C080-BAFA-47CE-A57A-5384C3AB32A0}"/>
            </a:ext>
          </a:extLst>
        </xdr:cNvPr>
        <xdr:cNvSpPr txBox="1"/>
      </xdr:nvSpPr>
      <xdr:spPr>
        <a:xfrm>
          <a:off x="2255367" y="2164067"/>
          <a:ext cx="759308" cy="1350658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K2-621/362/3</a:t>
          </a:r>
        </a:p>
        <a:p>
          <a:pPr algn="l"/>
          <a:r>
            <a:rPr lang="en-ID" sz="80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ID" sz="80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ID" sz="80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ID" sz="80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6 SR</a:t>
          </a:r>
        </a:p>
        <a:p>
          <a:pPr algn="l"/>
          <a:r>
            <a:rPr lang="en-ID" sz="80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ID" sz="80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P12C-2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u="non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156664</xdr:colOff>
      <xdr:row>8</xdr:row>
      <xdr:rowOff>61257</xdr:rowOff>
    </xdr:from>
    <xdr:to>
      <xdr:col>11</xdr:col>
      <xdr:colOff>177831</xdr:colOff>
      <xdr:row>16</xdr:row>
      <xdr:rowOff>41412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43499060-F152-403F-A03B-FFD3166313E2}"/>
            </a:ext>
          </a:extLst>
        </xdr:cNvPr>
        <xdr:cNvSpPr txBox="1"/>
      </xdr:nvSpPr>
      <xdr:spPr>
        <a:xfrm>
          <a:off x="3128464" y="1289982"/>
          <a:ext cx="783167" cy="119935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K2-621/362/2</a:t>
          </a:r>
        </a:p>
        <a:p>
          <a:pPr algn="l"/>
          <a:r>
            <a:rPr lang="en-ID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ID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ID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 SR</a:t>
          </a:r>
        </a:p>
        <a:p>
          <a:pPr algn="l"/>
          <a:r>
            <a:rPr lang="en-ID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CC1-A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P12C-2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2 CJ6-T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u="non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56381</xdr:colOff>
      <xdr:row>20</xdr:row>
      <xdr:rowOff>111829</xdr:rowOff>
    </xdr:from>
    <xdr:to>
      <xdr:col>11</xdr:col>
      <xdr:colOff>112925</xdr:colOff>
      <xdr:row>22</xdr:row>
      <xdr:rowOff>6462</xdr:rowOff>
    </xdr:to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B4799A3-8F5F-4325-B723-83C934D2732E}"/>
            </a:ext>
          </a:extLst>
        </xdr:cNvPr>
        <xdr:cNvSpPr txBox="1"/>
      </xdr:nvSpPr>
      <xdr:spPr>
        <a:xfrm>
          <a:off x="3409181" y="3169354"/>
          <a:ext cx="437544" cy="1994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25 m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297284</xdr:colOff>
      <xdr:row>16</xdr:row>
      <xdr:rowOff>122609</xdr:rowOff>
    </xdr:from>
    <xdr:to>
      <xdr:col>11</xdr:col>
      <xdr:colOff>353828</xdr:colOff>
      <xdr:row>18</xdr:row>
      <xdr:rowOff>19238</xdr:rowOff>
    </xdr:to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D8FC0540-B73C-40B7-A1E2-179E0D331E6C}"/>
            </a:ext>
          </a:extLst>
        </xdr:cNvPr>
        <xdr:cNvSpPr txBox="1"/>
      </xdr:nvSpPr>
      <xdr:spPr>
        <a:xfrm>
          <a:off x="3650084" y="2570534"/>
          <a:ext cx="437544" cy="201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64 m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191217</xdr:colOff>
      <xdr:row>11</xdr:row>
      <xdr:rowOff>116097</xdr:rowOff>
    </xdr:from>
    <xdr:to>
      <xdr:col>12</xdr:col>
      <xdr:colOff>247761</xdr:colOff>
      <xdr:row>13</xdr:row>
      <xdr:rowOff>9414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45324FD9-29A8-4C8D-B445-2E475296EC35}"/>
            </a:ext>
          </a:extLst>
        </xdr:cNvPr>
        <xdr:cNvSpPr txBox="1"/>
      </xdr:nvSpPr>
      <xdr:spPr>
        <a:xfrm>
          <a:off x="3925017" y="1802022"/>
          <a:ext cx="437544" cy="1981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65 m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353366</xdr:colOff>
      <xdr:row>51</xdr:row>
      <xdr:rowOff>46999</xdr:rowOff>
    </xdr:from>
    <xdr:to>
      <xdr:col>6</xdr:col>
      <xdr:colOff>217771</xdr:colOff>
      <xdr:row>51</xdr:row>
      <xdr:rowOff>51570</xdr:rowOff>
    </xdr:to>
    <xdr:cxnSp macro="">
      <xdr:nvCxnSpPr>
        <xdr:cNvPr id="173" name="Straight Arrow Connector 172">
          <a:extLst>
            <a:ext uri="{FF2B5EF4-FFF2-40B4-BE49-F238E27FC236}">
              <a16:creationId xmlns:a16="http://schemas.microsoft.com/office/drawing/2014/main" id="{C2686F6E-7FDB-4DED-B36A-3503E68FF702}"/>
            </a:ext>
          </a:extLst>
        </xdr:cNvPr>
        <xdr:cNvCxnSpPr/>
      </xdr:nvCxnSpPr>
      <xdr:spPr>
        <a:xfrm flipH="1" flipV="1">
          <a:off x="1801166" y="7828924"/>
          <a:ext cx="245405" cy="457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51</xdr:row>
      <xdr:rowOff>146957</xdr:rowOff>
    </xdr:from>
    <xdr:to>
      <xdr:col>6</xdr:col>
      <xdr:colOff>152013</xdr:colOff>
      <xdr:row>52</xdr:row>
      <xdr:rowOff>1717</xdr:rowOff>
    </xdr:to>
    <xdr:cxnSp macro="">
      <xdr:nvCxnSpPr>
        <xdr:cNvPr id="174" name="Straight Arrow Connector 173">
          <a:extLst>
            <a:ext uri="{FF2B5EF4-FFF2-40B4-BE49-F238E27FC236}">
              <a16:creationId xmlns:a16="http://schemas.microsoft.com/office/drawing/2014/main" id="{C67737FD-28C0-46A8-9A12-5AD6E1154FD3}"/>
            </a:ext>
          </a:extLst>
        </xdr:cNvPr>
        <xdr:cNvCxnSpPr/>
      </xdr:nvCxnSpPr>
      <xdr:spPr>
        <a:xfrm flipH="1" flipV="1">
          <a:off x="1790700" y="7928882"/>
          <a:ext cx="190113" cy="716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350441</xdr:colOff>
      <xdr:row>11</xdr:row>
      <xdr:rowOff>4125</xdr:rowOff>
    </xdr:from>
    <xdr:to>
      <xdr:col>13</xdr:col>
      <xdr:colOff>113441</xdr:colOff>
      <xdr:row>11</xdr:row>
      <xdr:rowOff>149041</xdr:rowOff>
    </xdr:to>
    <xdr:grpSp>
      <xdr:nvGrpSpPr>
        <xdr:cNvPr id="175" name="Group 14">
          <a:extLst>
            <a:ext uri="{FF2B5EF4-FFF2-40B4-BE49-F238E27FC236}">
              <a16:creationId xmlns:a16="http://schemas.microsoft.com/office/drawing/2014/main" id="{C37D9AEB-D7F7-4C48-8BFA-552E467DDC75}"/>
            </a:ext>
          </a:extLst>
        </xdr:cNvPr>
        <xdr:cNvGrpSpPr/>
      </xdr:nvGrpSpPr>
      <xdr:grpSpPr>
        <a:xfrm rot="20286497">
          <a:off x="4475180" y="1660647"/>
          <a:ext cx="144000" cy="144916"/>
          <a:chOff x="9937028" y="802652"/>
          <a:chExt cx="83991" cy="77961"/>
        </a:xfrm>
      </xdr:grpSpPr>
      <xdr:sp macro="" textlink="">
        <xdr:nvSpPr>
          <xdr:cNvPr id="176" name="Oval 175">
            <a:extLst>
              <a:ext uri="{FF2B5EF4-FFF2-40B4-BE49-F238E27FC236}">
                <a16:creationId xmlns:a16="http://schemas.microsoft.com/office/drawing/2014/main" id="{BFCE2F44-B98B-8D46-0CA9-907D1F82AD9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05794530-7475-1EE8-A3EF-7BA05D7D4859}"/>
              </a:ext>
            </a:extLst>
          </xdr:cNvPr>
          <xdr:cNvCxnSpPr>
            <a:stCxn id="176" idx="1"/>
            <a:endCxn id="17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C18C9A1E-2889-2B62-74DB-707C0A2EE577}"/>
              </a:ext>
            </a:extLst>
          </xdr:cNvPr>
          <xdr:cNvCxnSpPr>
            <a:stCxn id="176" idx="3"/>
            <a:endCxn id="17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139036</xdr:colOff>
      <xdr:row>24</xdr:row>
      <xdr:rowOff>56613</xdr:rowOff>
    </xdr:from>
    <xdr:to>
      <xdr:col>10</xdr:col>
      <xdr:colOff>360107</xdr:colOff>
      <xdr:row>24</xdr:row>
      <xdr:rowOff>107811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AF78D60E-0690-4CC9-889C-F921F5DED7F3}"/>
            </a:ext>
          </a:extLst>
        </xdr:cNvPr>
        <xdr:cNvCxnSpPr>
          <a:stCxn id="212" idx="2"/>
          <a:endCxn id="208" idx="0"/>
        </xdr:cNvCxnSpPr>
      </xdr:nvCxnSpPr>
      <xdr:spPr>
        <a:xfrm flipH="1">
          <a:off x="3491836" y="3723738"/>
          <a:ext cx="221071" cy="5119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373145</xdr:colOff>
      <xdr:row>33</xdr:row>
      <xdr:rowOff>64403</xdr:rowOff>
    </xdr:from>
    <xdr:to>
      <xdr:col>12</xdr:col>
      <xdr:colOff>201425</xdr:colOff>
      <xdr:row>37</xdr:row>
      <xdr:rowOff>16349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51D69880-D042-4509-A2E4-E78D5A918190}"/>
            </a:ext>
          </a:extLst>
        </xdr:cNvPr>
        <xdr:cNvSpPr/>
      </xdr:nvSpPr>
      <xdr:spPr>
        <a:xfrm rot="17883320">
          <a:off x="3930812" y="5279261"/>
          <a:ext cx="561546" cy="20928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321879</xdr:colOff>
      <xdr:row>31</xdr:row>
      <xdr:rowOff>52551</xdr:rowOff>
    </xdr:from>
    <xdr:to>
      <xdr:col>11</xdr:col>
      <xdr:colOff>84879</xdr:colOff>
      <xdr:row>32</xdr:row>
      <xdr:rowOff>42684</xdr:rowOff>
    </xdr:to>
    <xdr:grpSp>
      <xdr:nvGrpSpPr>
        <xdr:cNvPr id="181" name="Group 14">
          <a:extLst>
            <a:ext uri="{FF2B5EF4-FFF2-40B4-BE49-F238E27FC236}">
              <a16:creationId xmlns:a16="http://schemas.microsoft.com/office/drawing/2014/main" id="{339734C1-DE21-4F1F-9081-2D0232CDE2DB}"/>
            </a:ext>
          </a:extLst>
        </xdr:cNvPr>
        <xdr:cNvGrpSpPr/>
      </xdr:nvGrpSpPr>
      <xdr:grpSpPr>
        <a:xfrm rot="20286497">
          <a:off x="3684618" y="4690812"/>
          <a:ext cx="144000" cy="139220"/>
          <a:chOff x="9937028" y="802652"/>
          <a:chExt cx="83991" cy="77961"/>
        </a:xfrm>
      </xdr:grpSpPr>
      <xdr:sp macro="" textlink="">
        <xdr:nvSpPr>
          <xdr:cNvPr id="182" name="Oval 181">
            <a:extLst>
              <a:ext uri="{FF2B5EF4-FFF2-40B4-BE49-F238E27FC236}">
                <a16:creationId xmlns:a16="http://schemas.microsoft.com/office/drawing/2014/main" id="{057E1678-B1CD-88E7-7628-000EC886BA1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32D2EC08-8C87-E0C0-8307-5F6CB4160A84}"/>
              </a:ext>
            </a:extLst>
          </xdr:cNvPr>
          <xdr:cNvCxnSpPr>
            <a:stCxn id="182" idx="1"/>
            <a:endCxn id="18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6C638397-3852-0B95-D5AA-5AF340484E70}"/>
              </a:ext>
            </a:extLst>
          </xdr:cNvPr>
          <xdr:cNvCxnSpPr>
            <a:stCxn id="182" idx="3"/>
            <a:endCxn id="18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317084</xdr:colOff>
      <xdr:row>27</xdr:row>
      <xdr:rowOff>48848</xdr:rowOff>
    </xdr:from>
    <xdr:to>
      <xdr:col>11</xdr:col>
      <xdr:colOff>258385</xdr:colOff>
      <xdr:row>28</xdr:row>
      <xdr:rowOff>49375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29848107-077E-4864-AC47-095C0E9F835E}"/>
            </a:ext>
          </a:extLst>
        </xdr:cNvPr>
        <xdr:cNvCxnSpPr>
          <a:stCxn id="84" idx="4"/>
          <a:endCxn id="163" idx="3"/>
        </xdr:cNvCxnSpPr>
      </xdr:nvCxnSpPr>
      <xdr:spPr>
        <a:xfrm>
          <a:off x="3669884" y="4173173"/>
          <a:ext cx="322301" cy="15292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1848</xdr:colOff>
      <xdr:row>27</xdr:row>
      <xdr:rowOff>80824</xdr:rowOff>
    </xdr:from>
    <xdr:to>
      <xdr:col>11</xdr:col>
      <xdr:colOff>142167</xdr:colOff>
      <xdr:row>28</xdr:row>
      <xdr:rowOff>1990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5E2FEEF9-EF1B-43A5-B02C-6945FEC06A09}"/>
            </a:ext>
          </a:extLst>
        </xdr:cNvPr>
        <xdr:cNvGrpSpPr/>
      </xdr:nvGrpSpPr>
      <xdr:grpSpPr>
        <a:xfrm rot="1290213">
          <a:off x="3745587" y="4122737"/>
          <a:ext cx="140319" cy="70253"/>
          <a:chOff x="639792" y="3047964"/>
          <a:chExt cx="140319" cy="72128"/>
        </a:xfrm>
      </xdr:grpSpPr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AA54A9D7-12F6-263B-8451-A05D5C1A9188}"/>
              </a:ext>
            </a:extLst>
          </xdr:cNvPr>
          <xdr:cNvCxnSpPr/>
        </xdr:nvCxnSpPr>
        <xdr:spPr>
          <a:xfrm rot="16039443" flipH="1" flipV="1">
            <a:off x="722043" y="3060502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50">
            <a:extLst>
              <a:ext uri="{FF2B5EF4-FFF2-40B4-BE49-F238E27FC236}">
                <a16:creationId xmlns:a16="http://schemas.microsoft.com/office/drawing/2014/main" id="{E0E8B52A-872A-1BAC-8ECF-3205C73F7390}"/>
              </a:ext>
            </a:extLst>
          </xdr:cNvPr>
          <xdr:cNvCxnSpPr/>
        </xdr:nvCxnSpPr>
        <xdr:spPr>
          <a:xfrm rot="16039443" flipH="1" flipV="1">
            <a:off x="690814" y="3061268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00A63B58-ACAE-2B7B-C7C4-0B66C2440968}"/>
              </a:ext>
            </a:extLst>
          </xdr:cNvPr>
          <xdr:cNvCxnSpPr/>
        </xdr:nvCxnSpPr>
        <xdr:spPr>
          <a:xfrm rot="16039443" flipH="1" flipV="1">
            <a:off x="657904" y="3060351"/>
            <a:ext cx="70605" cy="4887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0E9C9D69-C141-D0C1-14AB-8FC2D5E4D079}"/>
              </a:ext>
            </a:extLst>
          </xdr:cNvPr>
          <xdr:cNvCxnSpPr/>
        </xdr:nvCxnSpPr>
        <xdr:spPr>
          <a:xfrm rot="16039443" flipH="1" flipV="1">
            <a:off x="627254" y="3060538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41520</xdr:colOff>
      <xdr:row>28</xdr:row>
      <xdr:rowOff>49686</xdr:rowOff>
    </xdr:from>
    <xdr:to>
      <xdr:col>11</xdr:col>
      <xdr:colOff>258385</xdr:colOff>
      <xdr:row>31</xdr:row>
      <xdr:rowOff>57828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E621A96-1028-450C-BB80-110C86670D58}"/>
            </a:ext>
          </a:extLst>
        </xdr:cNvPr>
        <xdr:cNvCxnSpPr>
          <a:stCxn id="163" idx="3"/>
          <a:endCxn id="182" idx="7"/>
        </xdr:cNvCxnSpPr>
      </xdr:nvCxnSpPr>
      <xdr:spPr>
        <a:xfrm flipH="1">
          <a:off x="3775320" y="4326411"/>
          <a:ext cx="216865" cy="4653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56240</xdr:colOff>
      <xdr:row>34</xdr:row>
      <xdr:rowOff>139122</xdr:rowOff>
    </xdr:from>
    <xdr:to>
      <xdr:col>11</xdr:col>
      <xdr:colOff>200240</xdr:colOff>
      <xdr:row>35</xdr:row>
      <xdr:rowOff>129255</xdr:rowOff>
    </xdr:to>
    <xdr:grpSp>
      <xdr:nvGrpSpPr>
        <xdr:cNvPr id="192" name="Group 14">
          <a:extLst>
            <a:ext uri="{FF2B5EF4-FFF2-40B4-BE49-F238E27FC236}">
              <a16:creationId xmlns:a16="http://schemas.microsoft.com/office/drawing/2014/main" id="{7CEE06B6-8FFC-4CA6-BD78-C2DE20DC51B4}"/>
            </a:ext>
          </a:extLst>
        </xdr:cNvPr>
        <xdr:cNvGrpSpPr/>
      </xdr:nvGrpSpPr>
      <xdr:grpSpPr>
        <a:xfrm rot="20286497">
          <a:off x="3799979" y="5224644"/>
          <a:ext cx="144000" cy="139220"/>
          <a:chOff x="9937028" y="802652"/>
          <a:chExt cx="83991" cy="77961"/>
        </a:xfrm>
      </xdr:grpSpPr>
      <xdr:sp macro="" textlink="">
        <xdr:nvSpPr>
          <xdr:cNvPr id="193" name="Oval 192">
            <a:extLst>
              <a:ext uri="{FF2B5EF4-FFF2-40B4-BE49-F238E27FC236}">
                <a16:creationId xmlns:a16="http://schemas.microsoft.com/office/drawing/2014/main" id="{A281E2A8-F82F-2C4A-CE80-9E5B3A512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EDFD7B98-237C-C3DB-1997-456ED0BC2040}"/>
              </a:ext>
            </a:extLst>
          </xdr:cNvPr>
          <xdr:cNvCxnSpPr>
            <a:stCxn id="193" idx="1"/>
            <a:endCxn id="19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9A3732D7-406C-2C3B-8036-93D1E5393AB8}"/>
              </a:ext>
            </a:extLst>
          </xdr:cNvPr>
          <xdr:cNvCxnSpPr>
            <a:stCxn id="193" idx="3"/>
            <a:endCxn id="19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79500</xdr:colOff>
      <xdr:row>31</xdr:row>
      <xdr:rowOff>155305</xdr:rowOff>
    </xdr:from>
    <xdr:to>
      <xdr:col>11</xdr:col>
      <xdr:colOff>156101</xdr:colOff>
      <xdr:row>34</xdr:row>
      <xdr:rowOff>145417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93981184-DEE7-4854-881B-3000C65E7E43}"/>
            </a:ext>
          </a:extLst>
        </xdr:cNvPr>
        <xdr:cNvCxnSpPr>
          <a:stCxn id="182" idx="5"/>
          <a:endCxn id="193" idx="7"/>
        </xdr:cNvCxnSpPr>
      </xdr:nvCxnSpPr>
      <xdr:spPr>
        <a:xfrm>
          <a:off x="3813300" y="4889230"/>
          <a:ext cx="76601" cy="4473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91605</xdr:colOff>
      <xdr:row>29</xdr:row>
      <xdr:rowOff>88111</xdr:rowOff>
    </xdr:from>
    <xdr:to>
      <xdr:col>11</xdr:col>
      <xdr:colOff>163733</xdr:colOff>
      <xdr:row>30</xdr:row>
      <xdr:rowOff>77468</xdr:rowOff>
    </xdr:to>
    <xdr:grpSp>
      <xdr:nvGrpSpPr>
        <xdr:cNvPr id="197" name="Group 196">
          <a:extLst>
            <a:ext uri="{FF2B5EF4-FFF2-40B4-BE49-F238E27FC236}">
              <a16:creationId xmlns:a16="http://schemas.microsoft.com/office/drawing/2014/main" id="{7197C4CC-AEB8-4C18-B2C0-47312374E74F}"/>
            </a:ext>
          </a:extLst>
        </xdr:cNvPr>
        <xdr:cNvGrpSpPr/>
      </xdr:nvGrpSpPr>
      <xdr:grpSpPr>
        <a:xfrm rot="17160478">
          <a:off x="3802186" y="4461356"/>
          <a:ext cx="138444" cy="72128"/>
          <a:chOff x="639792" y="3047964"/>
          <a:chExt cx="140319" cy="72128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AA5D50FA-21BC-E607-ADEB-81F0F89620F1}"/>
              </a:ext>
            </a:extLst>
          </xdr:cNvPr>
          <xdr:cNvCxnSpPr/>
        </xdr:nvCxnSpPr>
        <xdr:spPr>
          <a:xfrm rot="16039443" flipH="1" flipV="1">
            <a:off x="722043" y="3060502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50">
            <a:extLst>
              <a:ext uri="{FF2B5EF4-FFF2-40B4-BE49-F238E27FC236}">
                <a16:creationId xmlns:a16="http://schemas.microsoft.com/office/drawing/2014/main" id="{22B4981C-5704-F994-EF57-63587B603E9F}"/>
              </a:ext>
            </a:extLst>
          </xdr:cNvPr>
          <xdr:cNvCxnSpPr/>
        </xdr:nvCxnSpPr>
        <xdr:spPr>
          <a:xfrm rot="16039443" flipH="1" flipV="1">
            <a:off x="690814" y="3061268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5E7E9554-E3AB-8508-BDC7-D7A32F9B8D8D}"/>
              </a:ext>
            </a:extLst>
          </xdr:cNvPr>
          <xdr:cNvCxnSpPr/>
        </xdr:nvCxnSpPr>
        <xdr:spPr>
          <a:xfrm rot="16039443" flipH="1" flipV="1">
            <a:off x="657904" y="3060351"/>
            <a:ext cx="70605" cy="4887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B4FFF9DB-502F-60CF-32CD-B8128169056B}"/>
              </a:ext>
            </a:extLst>
          </xdr:cNvPr>
          <xdr:cNvCxnSpPr/>
        </xdr:nvCxnSpPr>
        <xdr:spPr>
          <a:xfrm rot="16039443" flipH="1" flipV="1">
            <a:off x="627254" y="3060538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44189</xdr:colOff>
      <xdr:row>33</xdr:row>
      <xdr:rowOff>33193</xdr:rowOff>
    </xdr:from>
    <xdr:to>
      <xdr:col>11</xdr:col>
      <xdr:colOff>184508</xdr:colOff>
      <xdr:row>33</xdr:row>
      <xdr:rowOff>105321</xdr:rowOff>
    </xdr:to>
    <xdr:grpSp>
      <xdr:nvGrpSpPr>
        <xdr:cNvPr id="202" name="Group 201">
          <a:extLst>
            <a:ext uri="{FF2B5EF4-FFF2-40B4-BE49-F238E27FC236}">
              <a16:creationId xmlns:a16="http://schemas.microsoft.com/office/drawing/2014/main" id="{9FDC0A71-69F6-4472-8ECA-6F6019B027E5}"/>
            </a:ext>
          </a:extLst>
        </xdr:cNvPr>
        <xdr:cNvGrpSpPr/>
      </xdr:nvGrpSpPr>
      <xdr:grpSpPr>
        <a:xfrm rot="1697280">
          <a:off x="3787928" y="4969628"/>
          <a:ext cx="140319" cy="72128"/>
          <a:chOff x="639792" y="3047964"/>
          <a:chExt cx="140319" cy="72128"/>
        </a:xfrm>
      </xdr:grpSpPr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487780A9-BFCF-1D18-0C71-0D40862A6032}"/>
              </a:ext>
            </a:extLst>
          </xdr:cNvPr>
          <xdr:cNvCxnSpPr/>
        </xdr:nvCxnSpPr>
        <xdr:spPr>
          <a:xfrm rot="16039443" flipH="1" flipV="1">
            <a:off x="722043" y="3060502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50">
            <a:extLst>
              <a:ext uri="{FF2B5EF4-FFF2-40B4-BE49-F238E27FC236}">
                <a16:creationId xmlns:a16="http://schemas.microsoft.com/office/drawing/2014/main" id="{F598079D-F470-DC18-DE0D-D2827077B295}"/>
              </a:ext>
            </a:extLst>
          </xdr:cNvPr>
          <xdr:cNvCxnSpPr/>
        </xdr:nvCxnSpPr>
        <xdr:spPr>
          <a:xfrm rot="16039443" flipH="1" flipV="1">
            <a:off x="690814" y="3061268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D0F03B8A-7405-A4F5-4F59-1DE710950311}"/>
              </a:ext>
            </a:extLst>
          </xdr:cNvPr>
          <xdr:cNvCxnSpPr/>
        </xdr:nvCxnSpPr>
        <xdr:spPr>
          <a:xfrm rot="16039443" flipH="1" flipV="1">
            <a:off x="657904" y="3060351"/>
            <a:ext cx="70605" cy="4887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BF0EEC03-469D-FC17-71F2-33FC1F424A85}"/>
              </a:ext>
            </a:extLst>
          </xdr:cNvPr>
          <xdr:cNvCxnSpPr/>
        </xdr:nvCxnSpPr>
        <xdr:spPr>
          <a:xfrm rot="16039443" flipH="1" flipV="1">
            <a:off x="627254" y="3060538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372086</xdr:colOff>
      <xdr:row>24</xdr:row>
      <xdr:rowOff>103408</xdr:rowOff>
    </xdr:from>
    <xdr:to>
      <xdr:col>10</xdr:col>
      <xdr:colOff>201293</xdr:colOff>
      <xdr:row>25</xdr:row>
      <xdr:rowOff>53623</xdr:rowOff>
    </xdr:to>
    <xdr:grpSp>
      <xdr:nvGrpSpPr>
        <xdr:cNvPr id="207" name="Group 155">
          <a:extLst>
            <a:ext uri="{FF2B5EF4-FFF2-40B4-BE49-F238E27FC236}">
              <a16:creationId xmlns:a16="http://schemas.microsoft.com/office/drawing/2014/main" id="{DA96807C-0048-4052-9DEE-E2B5E6FB72CA}"/>
            </a:ext>
          </a:extLst>
        </xdr:cNvPr>
        <xdr:cNvGrpSpPr/>
      </xdr:nvGrpSpPr>
      <xdr:grpSpPr>
        <a:xfrm>
          <a:off x="3353825" y="3698060"/>
          <a:ext cx="210207" cy="99302"/>
          <a:chOff x="9933529" y="1884698"/>
          <a:chExt cx="120949" cy="61119"/>
        </a:xfrm>
        <a:solidFill>
          <a:schemeClr val="tx1"/>
        </a:solidFill>
      </xdr:grpSpPr>
      <xdr:sp macro="" textlink="">
        <xdr:nvSpPr>
          <xdr:cNvPr id="208" name="Isosceles Triangle 207">
            <a:extLst>
              <a:ext uri="{FF2B5EF4-FFF2-40B4-BE49-F238E27FC236}">
                <a16:creationId xmlns:a16="http://schemas.microsoft.com/office/drawing/2014/main" id="{8D605362-945C-D89F-6759-719BDCFC90B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9" name="Isosceles Triangle 208">
            <a:extLst>
              <a:ext uri="{FF2B5EF4-FFF2-40B4-BE49-F238E27FC236}">
                <a16:creationId xmlns:a16="http://schemas.microsoft.com/office/drawing/2014/main" id="{1C32B4E7-9FBD-0371-5D41-9C961CF9D55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0" name="Isosceles Triangle 209">
            <a:extLst>
              <a:ext uri="{FF2B5EF4-FFF2-40B4-BE49-F238E27FC236}">
                <a16:creationId xmlns:a16="http://schemas.microsoft.com/office/drawing/2014/main" id="{FD610856-9554-5E8F-CFC5-33EE26D92EB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358923</xdr:colOff>
      <xdr:row>24</xdr:row>
      <xdr:rowOff>4</xdr:rowOff>
    </xdr:from>
    <xdr:to>
      <xdr:col>11</xdr:col>
      <xdr:colOff>121923</xdr:colOff>
      <xdr:row>24</xdr:row>
      <xdr:rowOff>139225</xdr:rowOff>
    </xdr:to>
    <xdr:grpSp>
      <xdr:nvGrpSpPr>
        <xdr:cNvPr id="211" name="Group 14">
          <a:extLst>
            <a:ext uri="{FF2B5EF4-FFF2-40B4-BE49-F238E27FC236}">
              <a16:creationId xmlns:a16="http://schemas.microsoft.com/office/drawing/2014/main" id="{E1664D62-42E0-4D94-91A6-1C5514D2B5CE}"/>
            </a:ext>
          </a:extLst>
        </xdr:cNvPr>
        <xdr:cNvGrpSpPr/>
      </xdr:nvGrpSpPr>
      <xdr:grpSpPr>
        <a:xfrm rot="624240">
          <a:off x="3721662" y="3594656"/>
          <a:ext cx="144000" cy="139221"/>
          <a:chOff x="9937028" y="802652"/>
          <a:chExt cx="83991" cy="77961"/>
        </a:xfrm>
      </xdr:grpSpPr>
      <xdr:sp macro="" textlink="">
        <xdr:nvSpPr>
          <xdr:cNvPr id="212" name="Oval 211">
            <a:extLst>
              <a:ext uri="{FF2B5EF4-FFF2-40B4-BE49-F238E27FC236}">
                <a16:creationId xmlns:a16="http://schemas.microsoft.com/office/drawing/2014/main" id="{565376E7-7556-BE02-CB23-4559F47ADF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B1137A8E-638B-553E-3503-F97F18231539}"/>
              </a:ext>
            </a:extLst>
          </xdr:cNvPr>
          <xdr:cNvCxnSpPr>
            <a:stCxn id="212" idx="1"/>
            <a:endCxn id="21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4DF3E9A3-072C-F27C-C7CF-61A9BD5EFFC2}"/>
              </a:ext>
            </a:extLst>
          </xdr:cNvPr>
          <xdr:cNvCxnSpPr>
            <a:stCxn id="212" idx="3"/>
            <a:endCxn id="21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120739</xdr:colOff>
      <xdr:row>21</xdr:row>
      <xdr:rowOff>67384</xdr:rowOff>
    </xdr:from>
    <xdr:to>
      <xdr:col>11</xdr:col>
      <xdr:colOff>258728</xdr:colOff>
      <xdr:row>24</xdr:row>
      <xdr:rowOff>82617</xdr:rowOff>
    </xdr:to>
    <xdr:cxnSp macro="">
      <xdr:nvCxnSpPr>
        <xdr:cNvPr id="215" name="Straight Connector 214">
          <a:extLst>
            <a:ext uri="{FF2B5EF4-FFF2-40B4-BE49-F238E27FC236}">
              <a16:creationId xmlns:a16="http://schemas.microsoft.com/office/drawing/2014/main" id="{68A03397-4F19-4736-A866-93236F556407}"/>
            </a:ext>
          </a:extLst>
        </xdr:cNvPr>
        <xdr:cNvCxnSpPr>
          <a:stCxn id="76" idx="6"/>
          <a:endCxn id="212" idx="6"/>
        </xdr:cNvCxnSpPr>
      </xdr:nvCxnSpPr>
      <xdr:spPr>
        <a:xfrm flipH="1">
          <a:off x="3854539" y="3277309"/>
          <a:ext cx="137989" cy="4724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62494</xdr:colOff>
      <xdr:row>21</xdr:row>
      <xdr:rowOff>107443</xdr:rowOff>
    </xdr:from>
    <xdr:to>
      <xdr:col>11</xdr:col>
      <xdr:colOff>166940</xdr:colOff>
      <xdr:row>24</xdr:row>
      <xdr:rowOff>1148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4EB29849-4BE7-4E75-A745-994ED41BAC00}"/>
            </a:ext>
          </a:extLst>
        </xdr:cNvPr>
        <xdr:cNvCxnSpPr>
          <a:stCxn id="212" idx="0"/>
          <a:endCxn id="76" idx="4"/>
        </xdr:cNvCxnSpPr>
      </xdr:nvCxnSpPr>
      <xdr:spPr>
        <a:xfrm flipV="1">
          <a:off x="3796294" y="3317368"/>
          <a:ext cx="104446" cy="350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352804</xdr:colOff>
      <xdr:row>24</xdr:row>
      <xdr:rowOff>123446</xdr:rowOff>
    </xdr:from>
    <xdr:to>
      <xdr:col>11</xdr:col>
      <xdr:colOff>46050</xdr:colOff>
      <xdr:row>25</xdr:row>
      <xdr:rowOff>110685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62BCFD67-1284-4170-A8A4-3ABE8CC5D4FA}"/>
            </a:ext>
          </a:extLst>
        </xdr:cNvPr>
        <xdr:cNvGrpSpPr/>
      </xdr:nvGrpSpPr>
      <xdr:grpSpPr>
        <a:xfrm rot="17520144">
          <a:off x="3684503" y="3749138"/>
          <a:ext cx="136326" cy="74246"/>
          <a:chOff x="639792" y="3047964"/>
          <a:chExt cx="140319" cy="72128"/>
        </a:xfrm>
      </xdr:grpSpPr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199204B8-3F98-F70C-DAEC-55FEA7750621}"/>
              </a:ext>
            </a:extLst>
          </xdr:cNvPr>
          <xdr:cNvCxnSpPr/>
        </xdr:nvCxnSpPr>
        <xdr:spPr>
          <a:xfrm rot="16039443" flipH="1" flipV="1">
            <a:off x="722043" y="3060502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50">
            <a:extLst>
              <a:ext uri="{FF2B5EF4-FFF2-40B4-BE49-F238E27FC236}">
                <a16:creationId xmlns:a16="http://schemas.microsoft.com/office/drawing/2014/main" id="{B8339D1E-BE15-4439-CE3F-4C935E1D53BB}"/>
              </a:ext>
            </a:extLst>
          </xdr:cNvPr>
          <xdr:cNvCxnSpPr/>
        </xdr:nvCxnSpPr>
        <xdr:spPr>
          <a:xfrm rot="16039443" flipH="1" flipV="1">
            <a:off x="690814" y="3061268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E0B10610-5186-82D0-89AD-50FFE46EAD2A}"/>
              </a:ext>
            </a:extLst>
          </xdr:cNvPr>
          <xdr:cNvCxnSpPr/>
        </xdr:nvCxnSpPr>
        <xdr:spPr>
          <a:xfrm rot="16039443" flipH="1" flipV="1">
            <a:off x="657904" y="3060351"/>
            <a:ext cx="70605" cy="4887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70168736-13CC-5058-6693-21C9B1E91BD4}"/>
              </a:ext>
            </a:extLst>
          </xdr:cNvPr>
          <xdr:cNvCxnSpPr/>
        </xdr:nvCxnSpPr>
        <xdr:spPr>
          <a:xfrm rot="16039443" flipH="1" flipV="1">
            <a:off x="627254" y="3060538"/>
            <a:ext cx="70605" cy="4553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153080</xdr:colOff>
      <xdr:row>22</xdr:row>
      <xdr:rowOff>47625</xdr:rowOff>
    </xdr:from>
    <xdr:to>
      <xdr:col>11</xdr:col>
      <xdr:colOff>225080</xdr:colOff>
      <xdr:row>23</xdr:row>
      <xdr:rowOff>4538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BF00ED4C-7ED2-479C-8DE7-F1C345389539}"/>
            </a:ext>
          </a:extLst>
        </xdr:cNvPr>
        <xdr:cNvGrpSpPr/>
      </xdr:nvGrpSpPr>
      <xdr:grpSpPr>
        <a:xfrm rot="18202772">
          <a:off x="3879819" y="3361103"/>
          <a:ext cx="106000" cy="72000"/>
          <a:chOff x="13029613" y="2289822"/>
          <a:chExt cx="107252" cy="65187"/>
        </a:xfrm>
      </xdr:grpSpPr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65360CAD-32D0-123B-C9F0-63B1C8525B4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50">
            <a:extLst>
              <a:ext uri="{FF2B5EF4-FFF2-40B4-BE49-F238E27FC236}">
                <a16:creationId xmlns:a16="http://schemas.microsoft.com/office/drawing/2014/main" id="{FAE9352B-3884-4E73-DE0D-1D7DBEC8C6E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AB75A292-5D9B-3B43-B064-21DDD721F37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68036</xdr:colOff>
      <xdr:row>24</xdr:row>
      <xdr:rowOff>74840</xdr:rowOff>
    </xdr:from>
    <xdr:to>
      <xdr:col>11</xdr:col>
      <xdr:colOff>140036</xdr:colOff>
      <xdr:row>25</xdr:row>
      <xdr:rowOff>31754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A5753FCE-580B-438E-8769-89F492305251}"/>
            </a:ext>
          </a:extLst>
        </xdr:cNvPr>
        <xdr:cNvGrpSpPr/>
      </xdr:nvGrpSpPr>
      <xdr:grpSpPr>
        <a:xfrm rot="18202772">
          <a:off x="3794774" y="3686493"/>
          <a:ext cx="106001" cy="72000"/>
          <a:chOff x="13029613" y="2289822"/>
          <a:chExt cx="107252" cy="65187"/>
        </a:xfrm>
      </xdr:grpSpPr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EF1D4EB1-7203-745F-7149-022493CD47E8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50">
            <a:extLst>
              <a:ext uri="{FF2B5EF4-FFF2-40B4-BE49-F238E27FC236}">
                <a16:creationId xmlns:a16="http://schemas.microsoft.com/office/drawing/2014/main" id="{3ADA3ACC-2254-BE7C-4637-6F776E3D18E4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4B270989-A77A-7594-9513-630CA3F12B0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278433</xdr:colOff>
      <xdr:row>22</xdr:row>
      <xdr:rowOff>63019</xdr:rowOff>
    </xdr:from>
    <xdr:to>
      <xdr:col>14</xdr:col>
      <xdr:colOff>344694</xdr:colOff>
      <xdr:row>32</xdr:row>
      <xdr:rowOff>140804</xdr:rowOff>
    </xdr:to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6E7BC347-5AE7-4C54-98DE-986FD494EDE9}"/>
            </a:ext>
          </a:extLst>
        </xdr:cNvPr>
        <xdr:cNvSpPr txBox="1"/>
      </xdr:nvSpPr>
      <xdr:spPr>
        <a:xfrm>
          <a:off x="4393233" y="3425344"/>
          <a:ext cx="828261" cy="160178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K2-621/362/3A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CC7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C12-350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G312 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CA5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FE1-3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3 CJ5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7 CJ6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6 SR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u="non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33617</xdr:colOff>
      <xdr:row>38</xdr:row>
      <xdr:rowOff>89648</xdr:rowOff>
    </xdr:from>
    <xdr:to>
      <xdr:col>11</xdr:col>
      <xdr:colOff>242897</xdr:colOff>
      <xdr:row>42</xdr:row>
      <xdr:rowOff>41593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702F1CE9-3BBE-4B6E-ADAF-44314E307CED}"/>
            </a:ext>
          </a:extLst>
        </xdr:cNvPr>
        <xdr:cNvSpPr/>
      </xdr:nvSpPr>
      <xdr:spPr>
        <a:xfrm rot="17883320">
          <a:off x="3591284" y="6066506"/>
          <a:ext cx="561545" cy="20928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194861</xdr:colOff>
      <xdr:row>34</xdr:row>
      <xdr:rowOff>148044</xdr:rowOff>
    </xdr:from>
    <xdr:to>
      <xdr:col>12</xdr:col>
      <xdr:colOff>4441</xdr:colOff>
      <xdr:row>35</xdr:row>
      <xdr:rowOff>84994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36F3B6E6-C67C-4EC7-BB44-18D9208590F5}"/>
            </a:ext>
          </a:extLst>
        </xdr:cNvPr>
        <xdr:cNvCxnSpPr>
          <a:stCxn id="193" idx="5"/>
          <a:endCxn id="180" idx="0"/>
        </xdr:cNvCxnSpPr>
      </xdr:nvCxnSpPr>
      <xdr:spPr>
        <a:xfrm flipV="1">
          <a:off x="3928661" y="5339169"/>
          <a:ext cx="190580" cy="893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100379</xdr:colOff>
      <xdr:row>35</xdr:row>
      <xdr:rowOff>122960</xdr:rowOff>
    </xdr:from>
    <xdr:to>
      <xdr:col>11</xdr:col>
      <xdr:colOff>145676</xdr:colOff>
      <xdr:row>39</xdr:row>
      <xdr:rowOff>112059</xdr:rowOff>
    </xdr:to>
    <xdr:cxnSp macro="">
      <xdr:nvCxnSpPr>
        <xdr:cNvPr id="233" name="Straight Connector 232">
          <a:extLst>
            <a:ext uri="{FF2B5EF4-FFF2-40B4-BE49-F238E27FC236}">
              <a16:creationId xmlns:a16="http://schemas.microsoft.com/office/drawing/2014/main" id="{AE33098B-0AA6-4738-881B-1B3F448D7650}"/>
            </a:ext>
          </a:extLst>
        </xdr:cNvPr>
        <xdr:cNvCxnSpPr>
          <a:endCxn id="193" idx="3"/>
        </xdr:cNvCxnSpPr>
      </xdr:nvCxnSpPr>
      <xdr:spPr>
        <a:xfrm flipH="1" flipV="1">
          <a:off x="3834179" y="5466485"/>
          <a:ext cx="45297" cy="59869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33618</xdr:colOff>
      <xdr:row>34</xdr:row>
      <xdr:rowOff>67235</xdr:rowOff>
    </xdr:from>
    <xdr:to>
      <xdr:col>12</xdr:col>
      <xdr:colOff>129938</xdr:colOff>
      <xdr:row>35</xdr:row>
      <xdr:rowOff>39425</xdr:rowOff>
    </xdr:to>
    <xdr:sp macro="" textlink="">
      <xdr:nvSpPr>
        <xdr:cNvPr id="234" name="Rectangle 146">
          <a:extLst>
            <a:ext uri="{FF2B5EF4-FFF2-40B4-BE49-F238E27FC236}">
              <a16:creationId xmlns:a16="http://schemas.microsoft.com/office/drawing/2014/main" id="{2D42FAFC-57E9-43B5-94AA-2FE25C1949CC}"/>
            </a:ext>
          </a:extLst>
        </xdr:cNvPr>
        <xdr:cNvSpPr/>
      </xdr:nvSpPr>
      <xdr:spPr>
        <a:xfrm>
          <a:off x="4148418" y="5258360"/>
          <a:ext cx="96320" cy="12459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123265</xdr:colOff>
      <xdr:row>39</xdr:row>
      <xdr:rowOff>112058</xdr:rowOff>
    </xdr:from>
    <xdr:to>
      <xdr:col>11</xdr:col>
      <xdr:colOff>219585</xdr:colOff>
      <xdr:row>40</xdr:row>
      <xdr:rowOff>84248</xdr:rowOff>
    </xdr:to>
    <xdr:sp macro="" textlink="">
      <xdr:nvSpPr>
        <xdr:cNvPr id="235" name="Rectangle 146">
          <a:extLst>
            <a:ext uri="{FF2B5EF4-FFF2-40B4-BE49-F238E27FC236}">
              <a16:creationId xmlns:a16="http://schemas.microsoft.com/office/drawing/2014/main" id="{AE565BA2-12EA-4049-825E-D21711BE402B}"/>
            </a:ext>
          </a:extLst>
        </xdr:cNvPr>
        <xdr:cNvSpPr/>
      </xdr:nvSpPr>
      <xdr:spPr>
        <a:xfrm>
          <a:off x="3857065" y="6065183"/>
          <a:ext cx="96320" cy="12459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91965</xdr:colOff>
      <xdr:row>15</xdr:row>
      <xdr:rowOff>32845</xdr:rowOff>
    </xdr:from>
    <xdr:to>
      <xdr:col>16</xdr:col>
      <xdr:colOff>308742</xdr:colOff>
      <xdr:row>16</xdr:row>
      <xdr:rowOff>32845</xdr:rowOff>
    </xdr:to>
    <xdr:cxnSp macro="">
      <xdr:nvCxnSpPr>
        <xdr:cNvPr id="236" name="Straight Connector 235">
          <a:extLst>
            <a:ext uri="{FF2B5EF4-FFF2-40B4-BE49-F238E27FC236}">
              <a16:creationId xmlns:a16="http://schemas.microsoft.com/office/drawing/2014/main" id="{E0EAA3D4-21BB-47F1-A9DB-08D7D228D23A}"/>
            </a:ext>
          </a:extLst>
        </xdr:cNvPr>
        <xdr:cNvCxnSpPr/>
      </xdr:nvCxnSpPr>
      <xdr:spPr>
        <a:xfrm>
          <a:off x="4587765" y="2328370"/>
          <a:ext cx="1359777" cy="152400"/>
        </a:xfrm>
        <a:prstGeom prst="line">
          <a:avLst/>
        </a:prstGeom>
        <a:noFill/>
        <a:ln w="127000"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14</xdr:col>
      <xdr:colOff>362706</xdr:colOff>
      <xdr:row>14</xdr:row>
      <xdr:rowOff>76841</xdr:rowOff>
    </xdr:from>
    <xdr:to>
      <xdr:col>15</xdr:col>
      <xdr:colOff>89508</xdr:colOff>
      <xdr:row>14</xdr:row>
      <xdr:rowOff>130154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A96637EC-5949-4D5D-A84E-8ECCBE783644}"/>
            </a:ext>
          </a:extLst>
        </xdr:cNvPr>
        <xdr:cNvGrpSpPr/>
      </xdr:nvGrpSpPr>
      <xdr:grpSpPr>
        <a:xfrm>
          <a:off x="5249445" y="2180624"/>
          <a:ext cx="107802" cy="53313"/>
          <a:chOff x="12175074" y="2285812"/>
          <a:chExt cx="107252" cy="65186"/>
        </a:xfrm>
      </xdr:grpSpPr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08A36EF7-DEE6-FB6E-9676-DED512FD4CE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CA05571C-84AE-5B9B-68F6-477DEE43B54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6908CF1C-648F-9557-7B84-7004D020FA0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349261</xdr:colOff>
      <xdr:row>12</xdr:row>
      <xdr:rowOff>109374</xdr:rowOff>
    </xdr:from>
    <xdr:to>
      <xdr:col>16</xdr:col>
      <xdr:colOff>19706</xdr:colOff>
      <xdr:row>13</xdr:row>
      <xdr:rowOff>147343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7B1A5342-2616-4E0F-AD4D-F455B01A5F00}"/>
            </a:ext>
          </a:extLst>
        </xdr:cNvPr>
        <xdr:cNvSpPr txBox="1"/>
      </xdr:nvSpPr>
      <xdr:spPr>
        <a:xfrm>
          <a:off x="5226061" y="1947699"/>
          <a:ext cx="432445" cy="1903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58</a:t>
          </a:r>
          <a:r>
            <a:rPr lang="en-US" sz="80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354146</xdr:colOff>
      <xdr:row>14</xdr:row>
      <xdr:rowOff>68931</xdr:rowOff>
    </xdr:from>
    <xdr:to>
      <xdr:col>16</xdr:col>
      <xdr:colOff>226746</xdr:colOff>
      <xdr:row>15</xdr:row>
      <xdr:rowOff>48666</xdr:rowOff>
    </xdr:to>
    <xdr:cxnSp macro="">
      <xdr:nvCxnSpPr>
        <xdr:cNvPr id="242" name="Straight Connector 241">
          <a:extLst>
            <a:ext uri="{FF2B5EF4-FFF2-40B4-BE49-F238E27FC236}">
              <a16:creationId xmlns:a16="http://schemas.microsoft.com/office/drawing/2014/main" id="{575648E3-ACBA-41FB-8A90-2EEDD295C921}"/>
            </a:ext>
          </a:extLst>
        </xdr:cNvPr>
        <xdr:cNvCxnSpPr>
          <a:cxnSpLocks/>
          <a:stCxn id="244" idx="6"/>
          <a:endCxn id="248" idx="2"/>
        </xdr:cNvCxnSpPr>
      </xdr:nvCxnSpPr>
      <xdr:spPr bwMode="auto">
        <a:xfrm>
          <a:off x="4849946" y="2212056"/>
          <a:ext cx="1015600" cy="1321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195760</xdr:colOff>
      <xdr:row>14</xdr:row>
      <xdr:rowOff>0</xdr:rowOff>
    </xdr:from>
    <xdr:to>
      <xdr:col>13</xdr:col>
      <xdr:colOff>354146</xdr:colOff>
      <xdr:row>14</xdr:row>
      <xdr:rowOff>137862</xdr:rowOff>
    </xdr:to>
    <xdr:grpSp>
      <xdr:nvGrpSpPr>
        <xdr:cNvPr id="243" name="Group 13">
          <a:extLst>
            <a:ext uri="{FF2B5EF4-FFF2-40B4-BE49-F238E27FC236}">
              <a16:creationId xmlns:a16="http://schemas.microsoft.com/office/drawing/2014/main" id="{DDC7C107-A797-48A6-9E39-4214A536574A}"/>
            </a:ext>
          </a:extLst>
        </xdr:cNvPr>
        <xdr:cNvGrpSpPr/>
      </xdr:nvGrpSpPr>
      <xdr:grpSpPr>
        <a:xfrm>
          <a:off x="4701499" y="2103783"/>
          <a:ext cx="158386" cy="137862"/>
          <a:chOff x="9937028" y="802652"/>
          <a:chExt cx="83991" cy="77961"/>
        </a:xfrm>
      </xdr:grpSpPr>
      <xdr:sp macro="" textlink="">
        <xdr:nvSpPr>
          <xdr:cNvPr id="244" name="Oval 1">
            <a:extLst>
              <a:ext uri="{FF2B5EF4-FFF2-40B4-BE49-F238E27FC236}">
                <a16:creationId xmlns:a16="http://schemas.microsoft.com/office/drawing/2014/main" id="{A82E87EF-94E6-BE18-11E9-23278ED87A6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5" name="Straight Connector 3">
            <a:extLst>
              <a:ext uri="{FF2B5EF4-FFF2-40B4-BE49-F238E27FC236}">
                <a16:creationId xmlns:a16="http://schemas.microsoft.com/office/drawing/2014/main" id="{1CB15414-8008-4F66-5B8C-E42FEC2F432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7">
            <a:extLst>
              <a:ext uri="{FF2B5EF4-FFF2-40B4-BE49-F238E27FC236}">
                <a16:creationId xmlns:a16="http://schemas.microsoft.com/office/drawing/2014/main" id="{5A94CA37-8374-8C7D-ED65-B09AFD26C4F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226746</xdr:colOff>
      <xdr:row>14</xdr:row>
      <xdr:rowOff>130821</xdr:rowOff>
    </xdr:from>
    <xdr:to>
      <xdr:col>16</xdr:col>
      <xdr:colOff>375607</xdr:colOff>
      <xdr:row>15</xdr:row>
      <xdr:rowOff>117597</xdr:rowOff>
    </xdr:to>
    <xdr:grpSp>
      <xdr:nvGrpSpPr>
        <xdr:cNvPr id="247" name="Group 13">
          <a:extLst>
            <a:ext uri="{FF2B5EF4-FFF2-40B4-BE49-F238E27FC236}">
              <a16:creationId xmlns:a16="http://schemas.microsoft.com/office/drawing/2014/main" id="{1853E959-8BA4-4847-8179-F79AAE8C4EAE}"/>
            </a:ext>
          </a:extLst>
        </xdr:cNvPr>
        <xdr:cNvGrpSpPr/>
      </xdr:nvGrpSpPr>
      <xdr:grpSpPr>
        <a:xfrm>
          <a:off x="5875485" y="2234604"/>
          <a:ext cx="148861" cy="135863"/>
          <a:chOff x="9937028" y="802652"/>
          <a:chExt cx="83991" cy="77961"/>
        </a:xfrm>
      </xdr:grpSpPr>
      <xdr:sp macro="" textlink="">
        <xdr:nvSpPr>
          <xdr:cNvPr id="248" name="Oval 1">
            <a:extLst>
              <a:ext uri="{FF2B5EF4-FFF2-40B4-BE49-F238E27FC236}">
                <a16:creationId xmlns:a16="http://schemas.microsoft.com/office/drawing/2014/main" id="{87DA1DBF-812E-6A90-D18C-9F26C24AB58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9" name="Straight Connector 3">
            <a:extLst>
              <a:ext uri="{FF2B5EF4-FFF2-40B4-BE49-F238E27FC236}">
                <a16:creationId xmlns:a16="http://schemas.microsoft.com/office/drawing/2014/main" id="{B09743D1-E5D1-54E4-D7B5-4B8816DF6D4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">
            <a:extLst>
              <a:ext uri="{FF2B5EF4-FFF2-40B4-BE49-F238E27FC236}">
                <a16:creationId xmlns:a16="http://schemas.microsoft.com/office/drawing/2014/main" id="{DF6B97A5-8540-2E4A-F4B3-736893853D0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311812</xdr:colOff>
      <xdr:row>17</xdr:row>
      <xdr:rowOff>72861</xdr:rowOff>
    </xdr:from>
    <xdr:to>
      <xdr:col>21</xdr:col>
      <xdr:colOff>130281</xdr:colOff>
      <xdr:row>23</xdr:row>
      <xdr:rowOff>73058</xdr:rowOff>
    </xdr:to>
    <xdr:sp macro="" textlink="">
      <xdr:nvSpPr>
        <xdr:cNvPr id="251" name="Rectangle 1">
          <a:extLst>
            <a:ext uri="{FF2B5EF4-FFF2-40B4-BE49-F238E27FC236}">
              <a16:creationId xmlns:a16="http://schemas.microsoft.com/office/drawing/2014/main" id="{19C09F5F-2AA5-491D-98BD-200568C4EB5B}"/>
            </a:ext>
          </a:extLst>
        </xdr:cNvPr>
        <xdr:cNvSpPr/>
      </xdr:nvSpPr>
      <xdr:spPr>
        <a:xfrm>
          <a:off x="5950612" y="2673186"/>
          <a:ext cx="1723469" cy="9145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339204</xdr:colOff>
      <xdr:row>17</xdr:row>
      <xdr:rowOff>108268</xdr:rowOff>
    </xdr:from>
    <xdr:to>
      <xdr:col>17</xdr:col>
      <xdr:colOff>114573</xdr:colOff>
      <xdr:row>18</xdr:row>
      <xdr:rowOff>111157</xdr:rowOff>
    </xdr:to>
    <xdr:sp macro="" textlink="">
      <xdr:nvSpPr>
        <xdr:cNvPr id="252" name="Rectangle 251">
          <a:extLst>
            <a:ext uri="{FF2B5EF4-FFF2-40B4-BE49-F238E27FC236}">
              <a16:creationId xmlns:a16="http://schemas.microsoft.com/office/drawing/2014/main" id="{D0A91DFF-F7D2-446A-9B4C-034CB58C4109}"/>
            </a:ext>
          </a:extLst>
        </xdr:cNvPr>
        <xdr:cNvSpPr/>
      </xdr:nvSpPr>
      <xdr:spPr>
        <a:xfrm flipH="1">
          <a:off x="5978004" y="2708593"/>
          <a:ext cx="15636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17</xdr:col>
      <xdr:colOff>360389</xdr:colOff>
      <xdr:row>17</xdr:row>
      <xdr:rowOff>101435</xdr:rowOff>
    </xdr:from>
    <xdr:to>
      <xdr:col>18</xdr:col>
      <xdr:colOff>135758</xdr:colOff>
      <xdr:row>18</xdr:row>
      <xdr:rowOff>104324</xdr:rowOff>
    </xdr:to>
    <xdr:sp macro="" textlink="">
      <xdr:nvSpPr>
        <xdr:cNvPr id="253" name="Rectangle 146">
          <a:extLst>
            <a:ext uri="{FF2B5EF4-FFF2-40B4-BE49-F238E27FC236}">
              <a16:creationId xmlns:a16="http://schemas.microsoft.com/office/drawing/2014/main" id="{69608039-082E-4E65-B133-E19F36507C3D}"/>
            </a:ext>
          </a:extLst>
        </xdr:cNvPr>
        <xdr:cNvSpPr/>
      </xdr:nvSpPr>
      <xdr:spPr>
        <a:xfrm flipH="1">
          <a:off x="6380189" y="2701760"/>
          <a:ext cx="15636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18</xdr:col>
      <xdr:colOff>372771</xdr:colOff>
      <xdr:row>17</xdr:row>
      <xdr:rowOff>99530</xdr:rowOff>
    </xdr:from>
    <xdr:to>
      <xdr:col>19</xdr:col>
      <xdr:colOff>148140</xdr:colOff>
      <xdr:row>18</xdr:row>
      <xdr:rowOff>102419</xdr:rowOff>
    </xdr:to>
    <xdr:sp macro="" textlink="">
      <xdr:nvSpPr>
        <xdr:cNvPr id="254" name="Rectangle 146">
          <a:extLst>
            <a:ext uri="{FF2B5EF4-FFF2-40B4-BE49-F238E27FC236}">
              <a16:creationId xmlns:a16="http://schemas.microsoft.com/office/drawing/2014/main" id="{1A975FCE-FEBD-4F46-BF21-C3A7E3EAF3DD}"/>
            </a:ext>
          </a:extLst>
        </xdr:cNvPr>
        <xdr:cNvSpPr/>
      </xdr:nvSpPr>
      <xdr:spPr>
        <a:xfrm flipH="1">
          <a:off x="6773571" y="2699855"/>
          <a:ext cx="15636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19</xdr:col>
      <xdr:colOff>305144</xdr:colOff>
      <xdr:row>17</xdr:row>
      <xdr:rowOff>106198</xdr:rowOff>
    </xdr:from>
    <xdr:to>
      <xdr:col>20</xdr:col>
      <xdr:colOff>80513</xdr:colOff>
      <xdr:row>18</xdr:row>
      <xdr:rowOff>109087</xdr:rowOff>
    </xdr:to>
    <xdr:sp macro="" textlink="">
      <xdr:nvSpPr>
        <xdr:cNvPr id="255" name="Rectangle 146">
          <a:extLst>
            <a:ext uri="{FF2B5EF4-FFF2-40B4-BE49-F238E27FC236}">
              <a16:creationId xmlns:a16="http://schemas.microsoft.com/office/drawing/2014/main" id="{FAA15875-18EF-49C3-9B5D-9E3094DA1A4A}"/>
            </a:ext>
          </a:extLst>
        </xdr:cNvPr>
        <xdr:cNvSpPr/>
      </xdr:nvSpPr>
      <xdr:spPr>
        <a:xfrm flipH="1">
          <a:off x="7086944" y="2706523"/>
          <a:ext cx="15636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20</xdr:col>
      <xdr:colOff>223229</xdr:colOff>
      <xdr:row>17</xdr:row>
      <xdr:rowOff>92863</xdr:rowOff>
    </xdr:from>
    <xdr:to>
      <xdr:col>20</xdr:col>
      <xdr:colOff>379598</xdr:colOff>
      <xdr:row>18</xdr:row>
      <xdr:rowOff>95752</xdr:rowOff>
    </xdr:to>
    <xdr:sp macro="" textlink="">
      <xdr:nvSpPr>
        <xdr:cNvPr id="256" name="Rectangle 146">
          <a:extLst>
            <a:ext uri="{FF2B5EF4-FFF2-40B4-BE49-F238E27FC236}">
              <a16:creationId xmlns:a16="http://schemas.microsoft.com/office/drawing/2014/main" id="{36ABCFE6-4ECB-4096-A8A5-651158276563}"/>
            </a:ext>
          </a:extLst>
        </xdr:cNvPr>
        <xdr:cNvSpPr/>
      </xdr:nvSpPr>
      <xdr:spPr>
        <a:xfrm flipH="1">
          <a:off x="7386029" y="2693188"/>
          <a:ext cx="15636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18</xdr:col>
      <xdr:colOff>6059</xdr:colOff>
      <xdr:row>22</xdr:row>
      <xdr:rowOff>52387</xdr:rowOff>
    </xdr:from>
    <xdr:to>
      <xdr:col>18</xdr:col>
      <xdr:colOff>162428</xdr:colOff>
      <xdr:row>23</xdr:row>
      <xdr:rowOff>55276</xdr:rowOff>
    </xdr:to>
    <xdr:sp macro="" textlink="">
      <xdr:nvSpPr>
        <xdr:cNvPr id="257" name="Rectangle 146">
          <a:extLst>
            <a:ext uri="{FF2B5EF4-FFF2-40B4-BE49-F238E27FC236}">
              <a16:creationId xmlns:a16="http://schemas.microsoft.com/office/drawing/2014/main" id="{DF369442-A84D-4E75-A34B-C5790AB81A5C}"/>
            </a:ext>
          </a:extLst>
        </xdr:cNvPr>
        <xdr:cNvSpPr/>
      </xdr:nvSpPr>
      <xdr:spPr>
        <a:xfrm flipH="1">
          <a:off x="6406859" y="3414712"/>
          <a:ext cx="15636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19</xdr:col>
      <xdr:colOff>27014</xdr:colOff>
      <xdr:row>22</xdr:row>
      <xdr:rowOff>39052</xdr:rowOff>
    </xdr:from>
    <xdr:to>
      <xdr:col>19</xdr:col>
      <xdr:colOff>164333</xdr:colOff>
      <xdr:row>23</xdr:row>
      <xdr:rowOff>41941</xdr:rowOff>
    </xdr:to>
    <xdr:sp macro="" textlink="">
      <xdr:nvSpPr>
        <xdr:cNvPr id="258" name="Rectangle 146">
          <a:extLst>
            <a:ext uri="{FF2B5EF4-FFF2-40B4-BE49-F238E27FC236}">
              <a16:creationId xmlns:a16="http://schemas.microsoft.com/office/drawing/2014/main" id="{236D59D4-A2A7-450D-8069-1E83FD1BE37E}"/>
            </a:ext>
          </a:extLst>
        </xdr:cNvPr>
        <xdr:cNvSpPr/>
      </xdr:nvSpPr>
      <xdr:spPr>
        <a:xfrm flipH="1">
          <a:off x="6808814" y="3401377"/>
          <a:ext cx="13731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19</xdr:col>
      <xdr:colOff>374677</xdr:colOff>
      <xdr:row>22</xdr:row>
      <xdr:rowOff>54292</xdr:rowOff>
    </xdr:from>
    <xdr:to>
      <xdr:col>20</xdr:col>
      <xdr:colOff>150046</xdr:colOff>
      <xdr:row>23</xdr:row>
      <xdr:rowOff>57181</xdr:rowOff>
    </xdr:to>
    <xdr:sp macro="" textlink="">
      <xdr:nvSpPr>
        <xdr:cNvPr id="259" name="Rectangle 146">
          <a:extLst>
            <a:ext uri="{FF2B5EF4-FFF2-40B4-BE49-F238E27FC236}">
              <a16:creationId xmlns:a16="http://schemas.microsoft.com/office/drawing/2014/main" id="{826DFB20-569C-4C41-A829-5F3E406B343E}"/>
            </a:ext>
          </a:extLst>
        </xdr:cNvPr>
        <xdr:cNvSpPr/>
      </xdr:nvSpPr>
      <xdr:spPr>
        <a:xfrm flipH="1">
          <a:off x="7156477" y="3416617"/>
          <a:ext cx="15636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20</xdr:col>
      <xdr:colOff>272759</xdr:colOff>
      <xdr:row>22</xdr:row>
      <xdr:rowOff>55244</xdr:rowOff>
    </xdr:from>
    <xdr:to>
      <xdr:col>21</xdr:col>
      <xdr:colOff>48128</xdr:colOff>
      <xdr:row>23</xdr:row>
      <xdr:rowOff>58133</xdr:rowOff>
    </xdr:to>
    <xdr:sp macro="" textlink="">
      <xdr:nvSpPr>
        <xdr:cNvPr id="260" name="Rectangle 146">
          <a:extLst>
            <a:ext uri="{FF2B5EF4-FFF2-40B4-BE49-F238E27FC236}">
              <a16:creationId xmlns:a16="http://schemas.microsoft.com/office/drawing/2014/main" id="{958812C9-6FBD-44D0-A425-EB6BF86A7A3A}"/>
            </a:ext>
          </a:extLst>
        </xdr:cNvPr>
        <xdr:cNvSpPr/>
      </xdr:nvSpPr>
      <xdr:spPr>
        <a:xfrm flipH="1">
          <a:off x="7435559" y="3417569"/>
          <a:ext cx="156369" cy="15528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16</xdr:col>
      <xdr:colOff>248546</xdr:colOff>
      <xdr:row>15</xdr:row>
      <xdr:rowOff>97408</xdr:rowOff>
    </xdr:from>
    <xdr:to>
      <xdr:col>16</xdr:col>
      <xdr:colOff>339204</xdr:colOff>
      <xdr:row>18</xdr:row>
      <xdr:rowOff>34169</xdr:rowOff>
    </xdr:to>
    <xdr:cxnSp macro="">
      <xdr:nvCxnSpPr>
        <xdr:cNvPr id="261" name="Straight Connector 164">
          <a:extLst>
            <a:ext uri="{FF2B5EF4-FFF2-40B4-BE49-F238E27FC236}">
              <a16:creationId xmlns:a16="http://schemas.microsoft.com/office/drawing/2014/main" id="{26373881-675B-4B6A-8CF1-C2F42351E2DC}"/>
            </a:ext>
          </a:extLst>
        </xdr:cNvPr>
        <xdr:cNvCxnSpPr>
          <a:cxnSpLocks/>
          <a:stCxn id="248" idx="3"/>
          <a:endCxn id="252" idx="3"/>
        </xdr:cNvCxnSpPr>
      </xdr:nvCxnSpPr>
      <xdr:spPr bwMode="auto">
        <a:xfrm>
          <a:off x="5887346" y="2392933"/>
          <a:ext cx="90658" cy="39396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375607</xdr:colOff>
      <xdr:row>15</xdr:row>
      <xdr:rowOff>48442</xdr:rowOff>
    </xdr:from>
    <xdr:to>
      <xdr:col>20</xdr:col>
      <xdr:colOff>2328</xdr:colOff>
      <xdr:row>17</xdr:row>
      <xdr:rowOff>106198</xdr:rowOff>
    </xdr:to>
    <xdr:cxnSp macro="">
      <xdr:nvCxnSpPr>
        <xdr:cNvPr id="262" name="Straight Connector 164">
          <a:extLst>
            <a:ext uri="{FF2B5EF4-FFF2-40B4-BE49-F238E27FC236}">
              <a16:creationId xmlns:a16="http://schemas.microsoft.com/office/drawing/2014/main" id="{26A3DAAC-5C4D-4BBF-85BF-8C9968D7CB62}"/>
            </a:ext>
          </a:extLst>
        </xdr:cNvPr>
        <xdr:cNvCxnSpPr>
          <a:cxnSpLocks/>
          <a:stCxn id="255" idx="0"/>
          <a:endCxn id="248" idx="6"/>
        </xdr:cNvCxnSpPr>
      </xdr:nvCxnSpPr>
      <xdr:spPr bwMode="auto">
        <a:xfrm flipH="1" flipV="1">
          <a:off x="6014407" y="2343967"/>
          <a:ext cx="1150721" cy="36255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375607</xdr:colOff>
      <xdr:row>15</xdr:row>
      <xdr:rowOff>48666</xdr:rowOff>
    </xdr:from>
    <xdr:to>
      <xdr:col>18</xdr:col>
      <xdr:colOff>372771</xdr:colOff>
      <xdr:row>18</xdr:row>
      <xdr:rowOff>25431</xdr:rowOff>
    </xdr:to>
    <xdr:cxnSp macro="">
      <xdr:nvCxnSpPr>
        <xdr:cNvPr id="263" name="Straight Connector 164">
          <a:extLst>
            <a:ext uri="{FF2B5EF4-FFF2-40B4-BE49-F238E27FC236}">
              <a16:creationId xmlns:a16="http://schemas.microsoft.com/office/drawing/2014/main" id="{1C3E0D0F-A64F-4623-A954-74F157FDFDAF}"/>
            </a:ext>
          </a:extLst>
        </xdr:cNvPr>
        <xdr:cNvCxnSpPr>
          <a:cxnSpLocks/>
          <a:stCxn id="254" idx="3"/>
          <a:endCxn id="248" idx="6"/>
        </xdr:cNvCxnSpPr>
      </xdr:nvCxnSpPr>
      <xdr:spPr bwMode="auto">
        <a:xfrm flipH="1" flipV="1">
          <a:off x="6014407" y="2344191"/>
          <a:ext cx="759164" cy="4339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353807</xdr:colOff>
      <xdr:row>15</xdr:row>
      <xdr:rowOff>97342</xdr:rowOff>
    </xdr:from>
    <xdr:to>
      <xdr:col>18</xdr:col>
      <xdr:colOff>57573</xdr:colOff>
      <xdr:row>17</xdr:row>
      <xdr:rowOff>101435</xdr:rowOff>
    </xdr:to>
    <xdr:cxnSp macro="">
      <xdr:nvCxnSpPr>
        <xdr:cNvPr id="264" name="Straight Connector 164">
          <a:extLst>
            <a:ext uri="{FF2B5EF4-FFF2-40B4-BE49-F238E27FC236}">
              <a16:creationId xmlns:a16="http://schemas.microsoft.com/office/drawing/2014/main" id="{EDDF91FB-BEC5-4332-99A7-C6FCF2DC9385}"/>
            </a:ext>
          </a:extLst>
        </xdr:cNvPr>
        <xdr:cNvCxnSpPr>
          <a:cxnSpLocks/>
          <a:stCxn id="253" idx="0"/>
          <a:endCxn id="248" idx="5"/>
        </xdr:cNvCxnSpPr>
      </xdr:nvCxnSpPr>
      <xdr:spPr bwMode="auto">
        <a:xfrm flipH="1" flipV="1">
          <a:off x="5992607" y="2392867"/>
          <a:ext cx="465766" cy="30889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375607</xdr:colOff>
      <xdr:row>15</xdr:row>
      <xdr:rowOff>48442</xdr:rowOff>
    </xdr:from>
    <xdr:to>
      <xdr:col>20</xdr:col>
      <xdr:colOff>301413</xdr:colOff>
      <xdr:row>17</xdr:row>
      <xdr:rowOff>92863</xdr:rowOff>
    </xdr:to>
    <xdr:cxnSp macro="">
      <xdr:nvCxnSpPr>
        <xdr:cNvPr id="265" name="Straight Connector 164">
          <a:extLst>
            <a:ext uri="{FF2B5EF4-FFF2-40B4-BE49-F238E27FC236}">
              <a16:creationId xmlns:a16="http://schemas.microsoft.com/office/drawing/2014/main" id="{930E6FC0-1337-4FF9-8E80-AB800858CD25}"/>
            </a:ext>
          </a:extLst>
        </xdr:cNvPr>
        <xdr:cNvCxnSpPr>
          <a:cxnSpLocks/>
          <a:stCxn id="256" idx="0"/>
          <a:endCxn id="248" idx="6"/>
        </xdr:cNvCxnSpPr>
      </xdr:nvCxnSpPr>
      <xdr:spPr bwMode="auto">
        <a:xfrm flipH="1" flipV="1">
          <a:off x="6014407" y="2343967"/>
          <a:ext cx="1449806" cy="34922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301177</xdr:colOff>
      <xdr:row>15</xdr:row>
      <xdr:rowOff>117597</xdr:rowOff>
    </xdr:from>
    <xdr:to>
      <xdr:col>18</xdr:col>
      <xdr:colOff>6059</xdr:colOff>
      <xdr:row>22</xdr:row>
      <xdr:rowOff>129375</xdr:rowOff>
    </xdr:to>
    <xdr:cxnSp macro="">
      <xdr:nvCxnSpPr>
        <xdr:cNvPr id="266" name="Straight Connector 164">
          <a:extLst>
            <a:ext uri="{FF2B5EF4-FFF2-40B4-BE49-F238E27FC236}">
              <a16:creationId xmlns:a16="http://schemas.microsoft.com/office/drawing/2014/main" id="{11FC0D34-017B-45D1-B500-859B96E99067}"/>
            </a:ext>
          </a:extLst>
        </xdr:cNvPr>
        <xdr:cNvCxnSpPr>
          <a:cxnSpLocks/>
          <a:stCxn id="248" idx="4"/>
          <a:endCxn id="257" idx="3"/>
        </xdr:cNvCxnSpPr>
      </xdr:nvCxnSpPr>
      <xdr:spPr bwMode="auto">
        <a:xfrm>
          <a:off x="5939977" y="2413122"/>
          <a:ext cx="466882" cy="107857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301177</xdr:colOff>
      <xdr:row>15</xdr:row>
      <xdr:rowOff>117597</xdr:rowOff>
    </xdr:from>
    <xdr:to>
      <xdr:col>19</xdr:col>
      <xdr:colOff>27014</xdr:colOff>
      <xdr:row>22</xdr:row>
      <xdr:rowOff>116040</xdr:rowOff>
    </xdr:to>
    <xdr:cxnSp macro="">
      <xdr:nvCxnSpPr>
        <xdr:cNvPr id="267" name="Straight Connector 164">
          <a:extLst>
            <a:ext uri="{FF2B5EF4-FFF2-40B4-BE49-F238E27FC236}">
              <a16:creationId xmlns:a16="http://schemas.microsoft.com/office/drawing/2014/main" id="{A079E7B8-BB65-4B76-8BB0-C3DB5761E620}"/>
            </a:ext>
          </a:extLst>
        </xdr:cNvPr>
        <xdr:cNvCxnSpPr>
          <a:cxnSpLocks/>
          <a:stCxn id="248" idx="4"/>
          <a:endCxn id="258" idx="3"/>
        </xdr:cNvCxnSpPr>
      </xdr:nvCxnSpPr>
      <xdr:spPr bwMode="auto">
        <a:xfrm>
          <a:off x="5939977" y="2413122"/>
          <a:ext cx="868837" cy="10652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301177</xdr:colOff>
      <xdr:row>15</xdr:row>
      <xdr:rowOff>117597</xdr:rowOff>
    </xdr:from>
    <xdr:to>
      <xdr:col>19</xdr:col>
      <xdr:colOff>374677</xdr:colOff>
      <xdr:row>22</xdr:row>
      <xdr:rowOff>131504</xdr:rowOff>
    </xdr:to>
    <xdr:cxnSp macro="">
      <xdr:nvCxnSpPr>
        <xdr:cNvPr id="268" name="Straight Connector 164">
          <a:extLst>
            <a:ext uri="{FF2B5EF4-FFF2-40B4-BE49-F238E27FC236}">
              <a16:creationId xmlns:a16="http://schemas.microsoft.com/office/drawing/2014/main" id="{8BC1B8F2-2FFD-4013-8CD4-4A008929813B}"/>
            </a:ext>
          </a:extLst>
        </xdr:cNvPr>
        <xdr:cNvCxnSpPr>
          <a:cxnSpLocks/>
          <a:stCxn id="248" idx="4"/>
          <a:endCxn id="259" idx="3"/>
        </xdr:cNvCxnSpPr>
      </xdr:nvCxnSpPr>
      <xdr:spPr bwMode="auto">
        <a:xfrm>
          <a:off x="5939977" y="2413122"/>
          <a:ext cx="1216500" cy="108070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301413</xdr:colOff>
      <xdr:row>18</xdr:row>
      <xdr:rowOff>95752</xdr:rowOff>
    </xdr:from>
    <xdr:to>
      <xdr:col>20</xdr:col>
      <xdr:colOff>350943</xdr:colOff>
      <xdr:row>22</xdr:row>
      <xdr:rowOff>55244</xdr:rowOff>
    </xdr:to>
    <xdr:cxnSp macro="">
      <xdr:nvCxnSpPr>
        <xdr:cNvPr id="269" name="Straight Connector 164">
          <a:extLst>
            <a:ext uri="{FF2B5EF4-FFF2-40B4-BE49-F238E27FC236}">
              <a16:creationId xmlns:a16="http://schemas.microsoft.com/office/drawing/2014/main" id="{AC38491F-1B0A-4424-B54A-5A2916D858B1}"/>
            </a:ext>
          </a:extLst>
        </xdr:cNvPr>
        <xdr:cNvCxnSpPr>
          <a:cxnSpLocks/>
          <a:stCxn id="256" idx="2"/>
          <a:endCxn id="260" idx="0"/>
        </xdr:cNvCxnSpPr>
      </xdr:nvCxnSpPr>
      <xdr:spPr bwMode="auto">
        <a:xfrm>
          <a:off x="7464213" y="2848477"/>
          <a:ext cx="49530" cy="5690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16</xdr:row>
      <xdr:rowOff>131230</xdr:rowOff>
    </xdr:from>
    <xdr:to>
      <xdr:col>16</xdr:col>
      <xdr:colOff>124811</xdr:colOff>
      <xdr:row>20</xdr:row>
      <xdr:rowOff>118243</xdr:rowOff>
    </xdr:to>
    <xdr:sp macro="" textlink="">
      <xdr:nvSpPr>
        <xdr:cNvPr id="270" name="TextBox 145">
          <a:extLst>
            <a:ext uri="{FF2B5EF4-FFF2-40B4-BE49-F238E27FC236}">
              <a16:creationId xmlns:a16="http://schemas.microsoft.com/office/drawing/2014/main" id="{F0C697F2-73AD-4FA4-8988-B0256EEEDC8F}"/>
            </a:ext>
          </a:extLst>
        </xdr:cNvPr>
        <xdr:cNvSpPr txBox="1"/>
      </xdr:nvSpPr>
      <xdr:spPr>
        <a:xfrm>
          <a:off x="4876800" y="2579155"/>
          <a:ext cx="886811" cy="59661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K2-621/361/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2/1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C9-200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176826</xdr:colOff>
      <xdr:row>14</xdr:row>
      <xdr:rowOff>117673</xdr:rowOff>
    </xdr:from>
    <xdr:to>
      <xdr:col>13</xdr:col>
      <xdr:colOff>218955</xdr:colOff>
      <xdr:row>16</xdr:row>
      <xdr:rowOff>40726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96CE6DFD-BBC2-4B65-BECF-E41127B8921E}"/>
            </a:ext>
          </a:extLst>
        </xdr:cNvPr>
        <xdr:cNvCxnSpPr>
          <a:cxnSpLocks/>
          <a:stCxn id="80" idx="5"/>
          <a:endCxn id="244" idx="3"/>
        </xdr:cNvCxnSpPr>
      </xdr:nvCxnSpPr>
      <xdr:spPr bwMode="auto">
        <a:xfrm flipV="1">
          <a:off x="4291626" y="2260798"/>
          <a:ext cx="423129" cy="22785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118241</xdr:colOff>
      <xdr:row>15</xdr:row>
      <xdr:rowOff>65690</xdr:rowOff>
    </xdr:from>
    <xdr:to>
      <xdr:col>14</xdr:col>
      <xdr:colOff>169686</xdr:colOff>
      <xdr:row>16</xdr:row>
      <xdr:rowOff>103660</xdr:rowOff>
    </xdr:to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02E5F36-5933-4294-BA70-6121E663E5E4}"/>
            </a:ext>
          </a:extLst>
        </xdr:cNvPr>
        <xdr:cNvSpPr txBox="1"/>
      </xdr:nvSpPr>
      <xdr:spPr>
        <a:xfrm>
          <a:off x="4614041" y="2361215"/>
          <a:ext cx="432445" cy="190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12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72258</xdr:colOff>
      <xdr:row>24</xdr:row>
      <xdr:rowOff>32845</xdr:rowOff>
    </xdr:from>
    <xdr:to>
      <xdr:col>10</xdr:col>
      <xdr:colOff>39414</xdr:colOff>
      <xdr:row>25</xdr:row>
      <xdr:rowOff>78563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D39F80D8-4404-4071-9076-AB99A599DCFD}"/>
            </a:ext>
          </a:extLst>
        </xdr:cNvPr>
        <xdr:cNvSpPr txBox="1"/>
      </xdr:nvSpPr>
      <xdr:spPr>
        <a:xfrm>
          <a:off x="2663058" y="3699970"/>
          <a:ext cx="729156" cy="198118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3 ph 100 kva</a:t>
          </a:r>
        </a:p>
        <a:p>
          <a:pPr algn="l"/>
          <a:endParaRPr lang="en-ID" sz="80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381000</xdr:colOff>
      <xdr:row>12</xdr:row>
      <xdr:rowOff>1</xdr:rowOff>
    </xdr:from>
    <xdr:to>
      <xdr:col>20</xdr:col>
      <xdr:colOff>161510</xdr:colOff>
      <xdr:row>15</xdr:row>
      <xdr:rowOff>98536</xdr:rowOff>
    </xdr:to>
    <xdr:sp macro="" textlink="">
      <xdr:nvSpPr>
        <xdr:cNvPr id="274" name="TextBox 145">
          <a:extLst>
            <a:ext uri="{FF2B5EF4-FFF2-40B4-BE49-F238E27FC236}">
              <a16:creationId xmlns:a16="http://schemas.microsoft.com/office/drawing/2014/main" id="{1D4CF9FA-013C-4C79-B56D-F7A552418316}"/>
            </a:ext>
          </a:extLst>
        </xdr:cNvPr>
        <xdr:cNvSpPr txBox="1"/>
      </xdr:nvSpPr>
      <xdr:spPr>
        <a:xfrm>
          <a:off x="6400800" y="1838326"/>
          <a:ext cx="923510" cy="5557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K2-621/361/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C9-200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160769</xdr:colOff>
      <xdr:row>16</xdr:row>
      <xdr:rowOff>4312</xdr:rowOff>
    </xdr:from>
    <xdr:to>
      <xdr:col>12</xdr:col>
      <xdr:colOff>39715</xdr:colOff>
      <xdr:row>20</xdr:row>
      <xdr:rowOff>127397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114D869B-6577-465E-A4A7-E3C828436C73}"/>
            </a:ext>
          </a:extLst>
        </xdr:cNvPr>
        <xdr:cNvCxnSpPr>
          <a:stCxn id="76" idx="1"/>
          <a:endCxn id="80" idx="1"/>
        </xdr:cNvCxnSpPr>
      </xdr:nvCxnSpPr>
      <xdr:spPr>
        <a:xfrm flipV="1">
          <a:off x="3894569" y="2452237"/>
          <a:ext cx="259946" cy="7326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8737</xdr:colOff>
      <xdr:row>21</xdr:row>
      <xdr:rowOff>59146</xdr:rowOff>
    </xdr:from>
    <xdr:to>
      <xdr:col>11</xdr:col>
      <xdr:colOff>112925</xdr:colOff>
      <xdr:row>24</xdr:row>
      <xdr:rowOff>12007</xdr:rowOff>
    </xdr:to>
    <xdr:cxnSp macro="">
      <xdr:nvCxnSpPr>
        <xdr:cNvPr id="276" name="Straight Connector 275">
          <a:extLst>
            <a:ext uri="{FF2B5EF4-FFF2-40B4-BE49-F238E27FC236}">
              <a16:creationId xmlns:a16="http://schemas.microsoft.com/office/drawing/2014/main" id="{E8C8B6F2-7C03-4FDD-B845-350B7B6DC36C}"/>
            </a:ext>
          </a:extLst>
        </xdr:cNvPr>
        <xdr:cNvCxnSpPr>
          <a:stCxn id="212" idx="1"/>
          <a:endCxn id="170" idx="3"/>
        </xdr:cNvCxnSpPr>
      </xdr:nvCxnSpPr>
      <xdr:spPr>
        <a:xfrm flipV="1">
          <a:off x="3742537" y="3269071"/>
          <a:ext cx="104188" cy="41006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233816</xdr:colOff>
      <xdr:row>18</xdr:row>
      <xdr:rowOff>22945</xdr:rowOff>
    </xdr:from>
    <xdr:to>
      <xdr:col>11</xdr:col>
      <xdr:colOff>304069</xdr:colOff>
      <xdr:row>19</xdr:row>
      <xdr:rowOff>14177</xdr:rowOff>
    </xdr:to>
    <xdr:grpSp>
      <xdr:nvGrpSpPr>
        <xdr:cNvPr id="277" name="Group 276">
          <a:extLst>
            <a:ext uri="{FF2B5EF4-FFF2-40B4-BE49-F238E27FC236}">
              <a16:creationId xmlns:a16="http://schemas.microsoft.com/office/drawing/2014/main" id="{7310C30D-49E1-46C9-B640-D3F5C2CD2813}"/>
            </a:ext>
          </a:extLst>
        </xdr:cNvPr>
        <xdr:cNvGrpSpPr/>
      </xdr:nvGrpSpPr>
      <xdr:grpSpPr>
        <a:xfrm rot="18629965">
          <a:off x="3942522" y="2758108"/>
          <a:ext cx="140319" cy="70253"/>
          <a:chOff x="639792" y="3047964"/>
          <a:chExt cx="140319" cy="72128"/>
        </a:xfrm>
      </xdr:grpSpPr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5C350F26-C506-77B1-DA5E-D0B21A875551}"/>
              </a:ext>
            </a:extLst>
          </xdr:cNvPr>
          <xdr:cNvCxnSpPr/>
        </xdr:nvCxnSpPr>
        <xdr:spPr>
          <a:xfrm rot="16039443" flipH="1" flipV="1">
            <a:off x="722043" y="3060502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50">
            <a:extLst>
              <a:ext uri="{FF2B5EF4-FFF2-40B4-BE49-F238E27FC236}">
                <a16:creationId xmlns:a16="http://schemas.microsoft.com/office/drawing/2014/main" id="{E30C5B99-E901-2956-116C-7C61EB1A5359}"/>
              </a:ext>
            </a:extLst>
          </xdr:cNvPr>
          <xdr:cNvCxnSpPr/>
        </xdr:nvCxnSpPr>
        <xdr:spPr>
          <a:xfrm rot="16039443" flipH="1" flipV="1">
            <a:off x="690814" y="3061268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DB8ED02F-EAA7-165F-ECA6-DC82A78B9DC3}"/>
              </a:ext>
            </a:extLst>
          </xdr:cNvPr>
          <xdr:cNvCxnSpPr/>
        </xdr:nvCxnSpPr>
        <xdr:spPr>
          <a:xfrm rot="16039443" flipH="1" flipV="1">
            <a:off x="657904" y="3060351"/>
            <a:ext cx="70605" cy="4887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ABB20A01-04CD-AB0E-272E-A449C563B804}"/>
              </a:ext>
            </a:extLst>
          </xdr:cNvPr>
          <xdr:cNvCxnSpPr/>
        </xdr:nvCxnSpPr>
        <xdr:spPr>
          <a:xfrm rot="16039443" flipH="1" flipV="1">
            <a:off x="627254" y="3060538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38212</xdr:colOff>
      <xdr:row>22</xdr:row>
      <xdr:rowOff>12706</xdr:rowOff>
    </xdr:from>
    <xdr:to>
      <xdr:col>11</xdr:col>
      <xdr:colOff>108465</xdr:colOff>
      <xdr:row>23</xdr:row>
      <xdr:rowOff>3938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F85BEA9B-4B94-4431-BACA-8D0A5B636C98}"/>
            </a:ext>
          </a:extLst>
        </xdr:cNvPr>
        <xdr:cNvGrpSpPr/>
      </xdr:nvGrpSpPr>
      <xdr:grpSpPr>
        <a:xfrm rot="17907164">
          <a:off x="3746918" y="3344217"/>
          <a:ext cx="140319" cy="70253"/>
          <a:chOff x="639792" y="3047964"/>
          <a:chExt cx="140319" cy="72128"/>
        </a:xfrm>
      </xdr:grpSpPr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4E7B9E38-C4CD-DEBD-BD2F-A4B6CDC90131}"/>
              </a:ext>
            </a:extLst>
          </xdr:cNvPr>
          <xdr:cNvCxnSpPr/>
        </xdr:nvCxnSpPr>
        <xdr:spPr>
          <a:xfrm rot="16039443" flipH="1" flipV="1">
            <a:off x="722043" y="3060502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50">
            <a:extLst>
              <a:ext uri="{FF2B5EF4-FFF2-40B4-BE49-F238E27FC236}">
                <a16:creationId xmlns:a16="http://schemas.microsoft.com/office/drawing/2014/main" id="{7380BB29-9CAC-72AF-AF5B-92F822C303F7}"/>
              </a:ext>
            </a:extLst>
          </xdr:cNvPr>
          <xdr:cNvCxnSpPr/>
        </xdr:nvCxnSpPr>
        <xdr:spPr>
          <a:xfrm rot="16039443" flipH="1" flipV="1">
            <a:off x="690814" y="3061268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67E35407-89B0-B80E-0FDB-96F99526FA4B}"/>
              </a:ext>
            </a:extLst>
          </xdr:cNvPr>
          <xdr:cNvCxnSpPr/>
        </xdr:nvCxnSpPr>
        <xdr:spPr>
          <a:xfrm rot="16039443" flipH="1" flipV="1">
            <a:off x="657904" y="3060351"/>
            <a:ext cx="70605" cy="4887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914E3EB4-98C9-07D0-47B3-5B62E6F0048A}"/>
              </a:ext>
            </a:extLst>
          </xdr:cNvPr>
          <xdr:cNvCxnSpPr/>
        </xdr:nvCxnSpPr>
        <xdr:spPr>
          <a:xfrm rot="16039443" flipH="1" flipV="1">
            <a:off x="627254" y="3060538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352953</xdr:colOff>
      <xdr:row>15</xdr:row>
      <xdr:rowOff>37552</xdr:rowOff>
    </xdr:from>
    <xdr:to>
      <xdr:col>13</xdr:col>
      <xdr:colOff>42206</xdr:colOff>
      <xdr:row>16</xdr:row>
      <xdr:rowOff>28784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9D17EEF2-90D3-4758-8621-A9D81E1B53B8}"/>
            </a:ext>
          </a:extLst>
        </xdr:cNvPr>
        <xdr:cNvGrpSpPr/>
      </xdr:nvGrpSpPr>
      <xdr:grpSpPr>
        <a:xfrm rot="18483888">
          <a:off x="4442659" y="2325455"/>
          <a:ext cx="140319" cy="70253"/>
          <a:chOff x="639792" y="3047964"/>
          <a:chExt cx="140319" cy="72128"/>
        </a:xfrm>
      </xdr:grpSpPr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C7B2ACEE-BBE2-CBC2-72F8-E5CD7466BA53}"/>
              </a:ext>
            </a:extLst>
          </xdr:cNvPr>
          <xdr:cNvCxnSpPr/>
        </xdr:nvCxnSpPr>
        <xdr:spPr>
          <a:xfrm rot="16039443" flipH="1" flipV="1">
            <a:off x="722043" y="3060502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50">
            <a:extLst>
              <a:ext uri="{FF2B5EF4-FFF2-40B4-BE49-F238E27FC236}">
                <a16:creationId xmlns:a16="http://schemas.microsoft.com/office/drawing/2014/main" id="{B607FBD0-4919-4BB9-3C7D-A6F162354594}"/>
              </a:ext>
            </a:extLst>
          </xdr:cNvPr>
          <xdr:cNvCxnSpPr/>
        </xdr:nvCxnSpPr>
        <xdr:spPr>
          <a:xfrm rot="16039443" flipH="1" flipV="1">
            <a:off x="690814" y="3061268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C3CEFC7E-36FD-33A5-A307-849510A7FAE2}"/>
              </a:ext>
            </a:extLst>
          </xdr:cNvPr>
          <xdr:cNvCxnSpPr/>
        </xdr:nvCxnSpPr>
        <xdr:spPr>
          <a:xfrm rot="16039443" flipH="1" flipV="1">
            <a:off x="657904" y="3060351"/>
            <a:ext cx="70605" cy="4887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1717048C-A82B-379C-3E4D-C57918278848}"/>
              </a:ext>
            </a:extLst>
          </xdr:cNvPr>
          <xdr:cNvCxnSpPr/>
        </xdr:nvCxnSpPr>
        <xdr:spPr>
          <a:xfrm rot="16039443" flipH="1" flipV="1">
            <a:off x="627254" y="3060538"/>
            <a:ext cx="70605" cy="45530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344521</xdr:colOff>
      <xdr:row>7</xdr:row>
      <xdr:rowOff>60798</xdr:rowOff>
    </xdr:from>
    <xdr:to>
      <xdr:col>25</xdr:col>
      <xdr:colOff>603090</xdr:colOff>
      <xdr:row>50</xdr:row>
      <xdr:rowOff>141862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C928FC-C4B7-4071-B1DB-B461B6D54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821" y="1222848"/>
          <a:ext cx="14517494" cy="7043839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CB479E-12F5-4BC7-8925-CF936E99B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11</xdr:col>
      <xdr:colOff>353696</xdr:colOff>
      <xdr:row>21</xdr:row>
      <xdr:rowOff>142356</xdr:rowOff>
    </xdr:from>
    <xdr:to>
      <xdr:col>13</xdr:col>
      <xdr:colOff>20265</xdr:colOff>
      <xdr:row>23</xdr:row>
      <xdr:rowOff>101331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0FA8B6B-5265-4BA1-A162-35E949A9928F}"/>
            </a:ext>
          </a:extLst>
        </xdr:cNvPr>
        <xdr:cNvSpPr/>
      </xdr:nvSpPr>
      <xdr:spPr>
        <a:xfrm>
          <a:off x="6230621" y="3571356"/>
          <a:ext cx="885769" cy="28282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254634</xdr:colOff>
      <xdr:row>23</xdr:row>
      <xdr:rowOff>117664</xdr:rowOff>
    </xdr:from>
    <xdr:to>
      <xdr:col>15</xdr:col>
      <xdr:colOff>569515</xdr:colOff>
      <xdr:row>33</xdr:row>
      <xdr:rowOff>34033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78FBF3-AA36-44AD-98C0-96AB7AD4A894}"/>
            </a:ext>
          </a:extLst>
        </xdr:cNvPr>
        <xdr:cNvSpPr/>
      </xdr:nvSpPr>
      <xdr:spPr>
        <a:xfrm>
          <a:off x="5521959" y="3870514"/>
          <a:ext cx="3362881" cy="15356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KOS</a:t>
          </a:r>
          <a:r>
            <a:rPr lang="en-US" sz="2400" b="1" baseline="0">
              <a:solidFill>
                <a:srgbClr val="FFFF00"/>
              </a:solidFill>
            </a:rPr>
            <a:t> GODONG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F34B86-5293-42DE-A92B-308A8E464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EDE8AA2-E67C-416D-A94A-9EB7B41980D5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132906</xdr:colOff>
      <xdr:row>8</xdr:row>
      <xdr:rowOff>88604</xdr:rowOff>
    </xdr:from>
    <xdr:to>
      <xdr:col>26</xdr:col>
      <xdr:colOff>130067</xdr:colOff>
      <xdr:row>50</xdr:row>
      <xdr:rowOff>132907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FE6621-96B6-456E-8E9B-982A2A73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806" y="1326854"/>
          <a:ext cx="13370261" cy="68451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B%20kos%20godong.xlsx" TargetMode="External"/><Relationship Id="rId1" Type="http://schemas.openxmlformats.org/officeDocument/2006/relationships/externalLinkPath" Target="/Users/junjun.baheransyah/Downloads/52553_KKO_KKF_PB%20kos%20godong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D/Documents/MAGANG/PENTING/format%20baru/PD%20AZZAHRA%202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78" t="s">
        <v>1133</v>
      </c>
      <c r="C4" s="478"/>
      <c r="D4" s="478"/>
      <c r="E4" s="478"/>
      <c r="F4" s="478"/>
      <c r="G4" s="478"/>
      <c r="H4" s="47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79" t="s">
        <v>0</v>
      </c>
      <c r="C7" s="479" t="s">
        <v>1</v>
      </c>
      <c r="D7" s="480" t="s">
        <v>42</v>
      </c>
      <c r="E7" s="480" t="s">
        <v>43</v>
      </c>
      <c r="F7" s="480" t="s">
        <v>1134</v>
      </c>
      <c r="G7" s="481" t="s">
        <v>41</v>
      </c>
      <c r="H7" s="477" t="s">
        <v>1042</v>
      </c>
      <c r="I7" s="477" t="s">
        <v>1136</v>
      </c>
      <c r="J7" s="477" t="s">
        <v>1026</v>
      </c>
      <c r="K7" s="471" t="s">
        <v>1024</v>
      </c>
      <c r="L7" s="472"/>
    </row>
    <row r="8" spans="1:12" ht="15" customHeight="1">
      <c r="B8" s="479"/>
      <c r="C8" s="479"/>
      <c r="D8" s="480"/>
      <c r="E8" s="480"/>
      <c r="F8" s="480"/>
      <c r="G8" s="481"/>
      <c r="H8" s="477"/>
      <c r="I8" s="477"/>
      <c r="J8" s="477"/>
      <c r="K8" s="473"/>
      <c r="L8" s="474"/>
    </row>
    <row r="9" spans="1:12" ht="15" customHeight="1">
      <c r="B9" s="479"/>
      <c r="C9" s="479"/>
      <c r="D9" s="480"/>
      <c r="E9" s="480"/>
      <c r="F9" s="480"/>
      <c r="G9" s="481"/>
      <c r="H9" s="477"/>
      <c r="I9" s="477"/>
      <c r="J9" s="477"/>
      <c r="K9" s="475"/>
      <c r="L9" s="47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16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4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16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170</v>
      </c>
      <c r="G14" s="41">
        <f ca="1">IF(ISERROR(OFFSET('HARGA SATUAN'!$I$6,MATCH(C14,'HARGA SATUAN'!$C$7:$C$1495,0),0)),"",OFFSET('HARGA SATUAN'!$I$6,MATCH(C14,'HARGA SATUAN'!$C$7:$C$1495,0),0))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560</v>
      </c>
      <c r="G15" s="41">
        <f ca="1">IF(ISERROR(OFFSET('HARGA SATUAN'!$I$6,MATCH(C15,'HARGA SATUAN'!$C$7:$C$1495,0),0)),"",OFFSET('HARGA SATUAN'!$I$6,MATCH(C15,'HARGA SATUAN'!$C$7:$C$1495,0),0))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 ht="30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SUMIFS(RAB!$F$14:$F$84,RAB!$C$14:$C$84,C714)</f>
        <v>16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SUMIFS(RAB!$F$14:$F$84,RAB!$C$14:$C$84,C715)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SUMIFS(RAB!$F$14:$F$84,RAB!$C$14:$C$84,C716)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SUMIFS(RAB!$F$14:$F$84,RAB!$C$14:$C$84,C717)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SUMIFS(RAB!$F$14:$F$84,RAB!$C$14:$C$84,C718)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SUMIFS(RAB!$F$14:$F$84,RAB!$C$14:$C$84,C719)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SUMIFS(RAB!$F$14:$F$84,RAB!$C$14:$C$84,C720)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SUMIFS(RAB!$F$14:$F$84,RAB!$C$14:$C$84,C721)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SUMIFS(RAB!$F$14:$F$84,RAB!$C$14:$C$84,C722)</f>
        <v>16</v>
      </c>
      <c r="E722" s="26">
        <f t="shared" ca="1" si="33"/>
        <v>1</v>
      </c>
      <c r="F722" s="26">
        <f ca="1">IF(D722=0,0,SUM($E$713:E722))</f>
        <v>2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SUMIFS(RAB!$F$14:$F$84,RAB!$C$14:$C$84,C723)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SUMIFS(RAB!$F$14:$F$84,RAB!$C$14:$C$84,C724)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SUMIFS(RAB!$F$14:$F$84,RAB!$C$14:$C$84,C725)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SUMIFS(RAB!$F$14:$F$84,RAB!$C$14:$C$84,C726)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SUMIFS(RAB!$F$14:$F$84,RAB!$C$14:$C$84,C727)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SUMIFS(RAB!$F$14:$F$84,RAB!$C$14:$C$84,C728)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SUMIFS(RAB!$F$14:$F$84,RAB!$C$14:$C$84,C729)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SUMIFS(RAB!$F$14:$F$84,RAB!$C$14:$C$84,C730)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SUMIFS(RAB!$F$14:$F$84,RAB!$C$14:$C$84,C731)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SUMIFS(RAB!$F$14:$F$84,RAB!$C$14:$C$84,C732)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SUMIFS(RAB!$F$14:$F$84,RAB!$C$14:$C$84,C733)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SUMIFS(RAB!$F$14:$F$84,RAB!$C$14:$C$84,C734)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SUMIFS(RAB!$F$14:$F$84,RAB!$C$14:$C$84,C735)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SUMIFS(RAB!$F$14:$F$84,RAB!$C$14:$C$84,C736)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SUMIFS(RAB!$F$14:$F$84,RAB!$C$14:$C$84,C737)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SUMIFS(RAB!$F$14:$F$84,RAB!$C$14:$C$84,C738)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SUMIFS(RAB!$F$14:$F$84,RAB!$C$14:$C$84,C739)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SUMIFS(RAB!$F$14:$F$84,RAB!$C$14:$C$84,C740)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SUMIFS(RAB!$F$14:$F$84,RAB!$C$14:$C$84,C741)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SUMIFS(RAB!$F$14:$F$84,RAB!$C$14:$C$84,C742)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SUMIFS(RAB!$F$14:$F$84,RAB!$C$14:$C$84,C743)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SUMIFS(RAB!$F$14:$F$84,RAB!$C$14:$C$84,C744)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SUMIFS(RAB!$F$14:$F$84,RAB!$C$14:$C$84,C745)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SUMIFS(RAB!$F$14:$F$84,RAB!$C$14:$C$84,C746)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SUMIFS(RAB!$F$14:$F$84,RAB!$C$14:$C$84,C747)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SUMIFS(RAB!$F$14:$F$84,RAB!$C$14:$C$84,C748)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SUMIFS(RAB!$F$14:$F$84,RAB!$C$14:$C$84,C749)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SUMIFS(RAB!$F$14:$F$84,RAB!$C$14:$C$84,C750)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SUMIFS(RAB!$F$14:$F$84,RAB!$C$14:$C$84,C751)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SUMIFS(RAB!$F$14:$F$84,RAB!$C$14:$C$84,C752)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SUMIFS(RAB!$F$14:$F$84,RAB!$C$14:$C$84,C753)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SUMIFS(RAB!$F$14:$F$84,RAB!$C$14:$C$84,C754)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SUMIFS(RAB!$F$14:$F$84,RAB!$C$14:$C$84,C755)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SUMIFS(RAB!$F$14:$F$84,RAB!$C$14:$C$84,C756)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SUMIFS(RAB!$F$14:$F$84,RAB!$C$14:$C$84,C757)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SUMIFS(RAB!$F$14:$F$84,RAB!$C$14:$C$84,C758)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SUMIFS(RAB!$F$14:$F$84,RAB!$C$14:$C$84,C759)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SUMIFS(RAB!$F$14:$F$84,RAB!$C$14:$C$84,C760)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SUMIFS(RAB!$F$14:$F$84,RAB!$C$14:$C$84,C761)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SUMIFS(RAB!$F$14:$F$84,RAB!$C$14:$C$84,C762)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SUMIFS(RAB!$F$14:$F$84,RAB!$C$14:$C$84,C763)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SUMIFS(RAB!$F$14:$F$84,RAB!$C$14:$C$84,C764)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SUMIFS(RAB!$F$14:$F$84,RAB!$C$14:$C$84,C765)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SUMIFS(RAB!$F$14:$F$84,RAB!$C$14:$C$84,C766)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SUMIFS(RAB!$F$14:$F$84,RAB!$C$14:$C$84,C767)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SUMIFS(RAB!$F$14:$F$84,RAB!$C$14:$C$84,C768)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SUMIFS(RAB!$F$14:$F$84,RAB!$C$14:$C$84,C769)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SUMIFS(RAB!$F$14:$F$84,RAB!$C$14:$C$84,C770)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SUMIFS(RAB!$F$14:$F$84,RAB!$C$14:$C$84,C771)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SUMIFS(RAB!$F$14:$F$84,RAB!$C$14:$C$84,C772)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SUMIFS(RAB!$F$14:$F$84,RAB!$C$14:$C$84,C773)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SUMIFS(RAB!$F$14:$F$84,RAB!$C$14:$C$84,C774)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SUMIFS(RAB!$F$14:$F$84,RAB!$C$14:$C$84,C775)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SUMIFS(RAB!$F$14:$F$84,RAB!$C$14:$C$84,C776)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SUMIFS(RAB!$F$14:$F$84,RAB!$C$14:$C$84,C777)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SUMIFS(RAB!$F$14:$F$84,RAB!$C$14:$C$84,C778)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SUMIFS(RAB!$F$14:$F$84,RAB!$C$14:$C$84,C779)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SUMIFS(RAB!$F$14:$F$84,RAB!$C$14:$C$84,C780)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SUMIFS(RAB!$F$14:$F$84,RAB!$C$14:$C$84,C781)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SUMIFS(RAB!$F$14:$F$84,RAB!$C$14:$C$84,C782)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SUMIFS(RAB!$F$14:$F$84,RAB!$C$14:$C$84,C783)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SUMIFS(RAB!$F$14:$F$84,RAB!$C$14:$C$84,C784)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SUMIFS(RAB!$F$14:$F$84,RAB!$C$14:$C$84,C785)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SUMIFS(RAB!$F$14:$F$84,RAB!$C$14:$C$84,C786)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SUMIFS(RAB!$F$14:$F$84,RAB!$C$14:$C$84,C787)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SUMIFS(RAB!$F$14:$F$84,RAB!$C$14:$C$84,C788)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SUMIFS(RAB!$F$14:$F$84,RAB!$C$14:$C$84,C789)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SUMIFS(RAB!$F$14:$F$84,RAB!$C$14:$C$84,C790)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SUMIFS(RAB!$F$14:$F$84,RAB!$C$14:$C$84,C791)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SUMIFS(RAB!$F$14:$F$84,RAB!$C$14:$C$84,C792)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SUMIFS(RAB!$F$14:$F$84,RAB!$C$14:$C$84,C793)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SUMIFS(RAB!$F$14:$F$84,RAB!$C$14:$C$84,C794)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SUMIFS(RAB!$F$14:$F$84,RAB!$C$14:$C$84,C795)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SUMIFS(RAB!$F$14:$F$84,RAB!$C$14:$C$84,C796)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SUMIFS(RAB!$F$14:$F$84,RAB!$C$14:$C$84,C797)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SUMIFS(RAB!$F$14:$F$84,RAB!$C$14:$C$84,C798)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SUMIFS(RAB!$F$14:$F$84,RAB!$C$14:$C$84,C799)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SUMIFS(RAB!$F$14:$F$84,RAB!$C$14:$C$84,C800)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SUMIFS(RAB!$F$14:$F$84,RAB!$C$14:$C$84,C801)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SUMIFS(RAB!$F$14:$F$84,RAB!$C$14:$C$84,C802)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SUMIFS(RAB!$F$14:$F$84,RAB!$C$14:$C$84,C803)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SUMIFS(RAB!$F$14:$F$84,RAB!$C$14:$C$84,C804)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SUMIFS(RAB!$F$14:$F$84,RAB!$C$14:$C$84,C805)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SUMIFS(RAB!$F$14:$F$84,RAB!$C$14:$C$84,C806)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SUMIFS(RAB!$F$14:$F$84,RAB!$C$14:$C$84,C807)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SUMIFS(RAB!$F$14:$F$84,RAB!$C$14:$C$84,C808)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SUMIFS(RAB!$F$14:$F$84,RAB!$C$14:$C$84,C809)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SUMIFS(RAB!$F$14:$F$84,RAB!$C$14:$C$84,C810)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SUMIFS(RAB!$F$14:$F$84,RAB!$C$14:$C$84,C811)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SUMIFS(RAB!$F$14:$F$84,RAB!$C$14:$C$84,C812)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SUMIFS(RAB!$F$14:$F$84,RAB!$C$14:$C$84,C813)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SUMIFS(RAB!$F$14:$F$84,RAB!$C$14:$C$84,C814)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SUMIFS(RAB!$F$14:$F$84,RAB!$C$14:$C$84,C815)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SUMIFS(RAB!$F$14:$F$84,RAB!$C$14:$C$84,C816)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SUMIFS(RAB!$F$14:$F$84,RAB!$C$14:$C$84,C817)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SUMIFS(RAB!$F$14:$F$84,RAB!$C$14:$C$84,C818)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SUMIFS(RAB!$F$14:$F$84,RAB!$C$14:$C$84,C819)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SUMIFS(RAB!$F$14:$F$84,RAB!$C$14:$C$84,C820)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SUMIFS(RAB!$F$14:$F$84,RAB!$C$14:$C$84,C821)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SUMIFS(RAB!$F$14:$F$84,RAB!$C$14:$C$84,C822)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SUMIFS(RAB!$F$14:$F$84,RAB!$C$14:$C$84,C823)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SUMIFS(RAB!$F$14:$F$84,RAB!$C$14:$C$84,C824)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SUMIFS(RAB!$F$14:$F$84,RAB!$C$14:$C$84,C825)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SUMIFS(RAB!$F$14:$F$84,RAB!$C$14:$C$84,C826)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SUMIFS(RAB!$F$14:$F$84,RAB!$C$14:$C$84,C827)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SUMIFS(RAB!$F$14:$F$84,RAB!$C$14:$C$84,C828)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SUMIFS(RAB!$F$14:$F$84,RAB!$C$14:$C$84,C829)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SUMIFS(RAB!$F$14:$F$84,RAB!$C$14:$C$84,C830)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SUMIFS(RAB!$F$14:$F$84,RAB!$C$14:$C$84,C831)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SUMIFS(RAB!$F$14:$F$84,RAB!$C$14:$C$84,C832)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SUMIFS(RAB!$F$14:$F$84,RAB!$C$14:$C$84,C833)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SUMIFS(RAB!$F$14:$F$84,RAB!$C$14:$C$84,C834)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SUMIFS(RAB!$F$14:$F$84,RAB!$C$14:$C$84,C835)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SUMIFS(RAB!$F$14:$F$84,RAB!$C$14:$C$84,C836)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SUMIFS(RAB!$F$14:$F$84,RAB!$C$14:$C$84,C837)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SUMIFS(RAB!$F$14:$F$84,RAB!$C$14:$C$84,C838)</f>
        <v>170</v>
      </c>
      <c r="E838" s="26">
        <f t="shared" ca="1" si="34"/>
        <v>1</v>
      </c>
      <c r="F838" s="26">
        <f ca="1">IF(D838=0,0,SUM($E$713:E838))</f>
        <v>3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SUMIFS(RAB!$F$14:$F$84,RAB!$C$14:$C$84,C839)</f>
        <v>560</v>
      </c>
      <c r="E839" s="26">
        <f t="shared" ca="1" si="34"/>
        <v>1</v>
      </c>
      <c r="F839" s="26">
        <f ca="1">IF(D839=0,0,SUM($E$713:E839))</f>
        <v>4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SUMIFS(RAB!$F$14:$F$84,RAB!$C$14:$C$84,C840)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SUMIFS(RAB!$F$14:$F$84,RAB!$C$14:$C$84,C841)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SUMIFS(RAB!$F$14:$F$84,RAB!$C$14:$C$84,C842)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SUMIFS(RAB!$F$14:$F$84,RAB!$C$14:$C$84,C843)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SUMIFS(RAB!$F$14:$F$84,RAB!$C$14:$C$84,C844)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SUMIFS(RAB!$F$14:$F$84,RAB!$C$14:$C$84,C845)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SUMIFS(RAB!$F$14:$F$84,RAB!$C$14:$C$84,C846)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SUMIFS(RAB!$F$14:$F$84,RAB!$C$14:$C$84,C847)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SUMIFS(RAB!$F$14:$F$84,RAB!$C$14:$C$84,C848)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SUMIFS(RAB!$F$14:$F$84,RAB!$C$14:$C$84,C849)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SUMIFS(RAB!$F$14:$F$84,RAB!$C$14:$C$84,C850)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SUMIFS(RAB!$F$14:$F$84,RAB!$C$14:$C$84,C851)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SUMIFS(RAB!$F$14:$F$84,RAB!$C$14:$C$84,C852)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SUMIFS(RAB!$F$14:$F$84,RAB!$C$14:$C$84,C853)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SUMIFS(RAB!$F$14:$F$84,RAB!$C$14:$C$84,C854)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SUMIFS(RAB!$F$14:$F$84,RAB!$C$14:$C$84,C855)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SUMIFS(RAB!$F$14:$F$84,RAB!$C$14:$C$84,C856)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SUMIFS(RAB!$F$14:$F$84,RAB!$C$14:$C$84,C857)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SUMIFS(RAB!$F$14:$F$84,RAB!$C$14:$C$84,C858)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SUMIFS(RAB!$F$14:$F$84,RAB!$C$14:$C$84,C859)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SUMIFS(RAB!$F$14:$F$84,RAB!$C$14:$C$84,C860)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SUMIFS(RAB!$F$14:$F$84,RAB!$C$14:$C$84,C861)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SUMIFS(RAB!$F$14:$F$84,RAB!$C$14:$C$84,C862)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SUMIFS(RAB!$F$14:$F$84,RAB!$C$14:$C$84,C863)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SUMIFS(RAB!$F$14:$F$84,RAB!$C$14:$C$84,C864)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SUMIFS(RAB!$F$14:$F$84,RAB!$C$14:$C$84,C865)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SUMIFS(RAB!$F$14:$F$84,RAB!$C$14:$C$84,C866)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SUMIFS(RAB!$F$14:$F$84,RAB!$C$14:$C$84,C867)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SUMIFS(RAB!$F$14:$F$84,RAB!$C$14:$C$84,C868)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SUMIFS(RAB!$F$14:$F$84,RAB!$C$14:$C$84,C869)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SUMIFS(RAB!$F$14:$F$84,RAB!$C$14:$C$84,C870)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SUMIFS(RAB!$F$14:$F$84,RAB!$C$14:$C$84,C871)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SUMIFS(RAB!$F$14:$F$84,RAB!$C$14:$C$84,C872)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SUMIFS(RAB!$F$14:$F$84,RAB!$C$14:$C$84,C873)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SUMIFS(RAB!$F$14:$F$84,RAB!$C$14:$C$84,C874)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SUMIFS(RAB!$F$14:$F$84,RAB!$C$14:$C$84,C875)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SUMIFS(RAB!$F$14:$F$84,RAB!$C$14:$C$84,C876)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SUMIFS(RAB!$F$14:$F$84,RAB!$C$14:$C$84,C877)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SUMIFS(RAB!$F$14:$F$84,RAB!$C$14:$C$84,C878)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SUMIFS(RAB!$F$14:$F$84,RAB!$C$14:$C$84,C879)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SUMIFS(RAB!$F$14:$F$84,RAB!$C$14:$C$84,C880)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SUMIFS(RAB!$F$14:$F$84,RAB!$C$14:$C$84,C881)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SUMIFS(RAB!$F$14:$F$84,RAB!$C$14:$C$84,C882)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SUMIFS(RAB!$F$14:$F$84,RAB!$C$14:$C$84,C883)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SUMIFS(RAB!$F$14:$F$84,RAB!$C$14:$C$84,C884)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SUMIFS(RAB!$F$14:$F$84,RAB!$C$14:$C$84,C885)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SUMIFS(RAB!$F$14:$F$84,RAB!$C$14:$C$84,C886)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SUMIFS(RAB!$F$14:$F$84,RAB!$C$14:$C$84,C887)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SUMIFS(RAB!$F$14:$F$84,RAB!$C$14:$C$84,C888)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SUMIFS(RAB!$F$14:$F$84,RAB!$C$14:$C$84,C889)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SUMIFS(RAB!$F$14:$F$84,RAB!$C$14:$C$84,C890)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SUMIFS(RAB!$F$14:$F$84,RAB!$C$14:$C$84,C891)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SUMIFS(RAB!$F$14:$F$84,RAB!$C$14:$C$84,C892)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SUMIFS(RAB!$F$14:$F$84,RAB!$C$14:$C$84,C893)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SUMIFS(RAB!$F$14:$F$84,RAB!$C$14:$C$84,C894)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SUMIFS(RAB!$F$14:$F$84,RAB!$C$14:$C$84,C895)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SUMIFS(RAB!$F$14:$F$84,RAB!$C$14:$C$84,C896)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SUMIFS(RAB!$F$14:$F$84,RAB!$C$14:$C$84,C897)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SUMIFS(RAB!$F$14:$F$84,RAB!$C$14:$C$84,C898)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SUMIFS(RAB!$F$14:$F$84,RAB!$C$14:$C$84,C899)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SUMIFS(RAB!$F$14:$F$84,RAB!$C$14:$C$84,C900)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SUMIFS(RAB!$F$14:$F$84,RAB!$C$14:$C$84,C901)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SUMIFS(RAB!$F$14:$F$84,RAB!$C$14:$C$84,C902)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SUMIFS(RAB!$F$14:$F$84,RAB!$C$14:$C$84,C903)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SUMIFS(RAB!$F$14:$F$84,RAB!$C$14:$C$84,C904)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SUMIFS(RAB!$F$14:$F$84,RAB!$C$14:$C$84,C905)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SUMIFS(RAB!$F$14:$F$84,RAB!$C$14:$C$84,C906)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SUMIFS(RAB!$F$14:$F$84,RAB!$C$14:$C$84,C907)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SUMIFS(RAB!$F$14:$F$84,RAB!$C$14:$C$84,C908)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SUMIFS(RAB!$F$14:$F$84,RAB!$C$14:$C$84,C909)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SUMIFS(RAB!$F$14:$F$84,RAB!$C$14:$C$84,C910)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SUMIFS(RAB!$F$14:$F$84,RAB!$C$14:$C$84,C911)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SUMIFS(RAB!$F$14:$F$84,RAB!$C$14:$C$84,C912)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SUMIFS(RAB!$F$14:$F$84,RAB!$C$14:$C$84,C913)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SUMIFS(RAB!$F$14:$F$84,RAB!$C$14:$C$84,C914)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SUMIFS(RAB!$F$14:$F$84,RAB!$C$14:$C$84,C915)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SUMIFS(RAB!$F$14:$F$84,RAB!$C$14:$C$84,C916)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SUMIFS(RAB!$F$14:$F$84,RAB!$C$14:$C$84,C917)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SUMIFS(RAB!$F$14:$F$84,RAB!$C$14:$C$84,C918)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SUMIFS(RAB!$F$14:$F$84,RAB!$C$14:$C$84,C919)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SUMIFS(RAB!$F$14:$F$84,RAB!$C$14:$C$84,C920)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SUMIFS(RAB!$F$14:$F$84,RAB!$C$14:$C$84,C921)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SUMIFS(RAB!$F$14:$F$84,RAB!$C$14:$C$84,C922)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SUMIFS(RAB!$F$14:$F$84,RAB!$C$14:$C$84,C923)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SUMIFS(RAB!$F$14:$F$84,RAB!$C$14:$C$84,C924)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SUMIFS(RAB!$F$14:$F$84,RAB!$C$14:$C$84,C925)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SUMIFS(RAB!$F$14:$F$84,RAB!$C$14:$C$84,C926)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SUMIFS(RAB!$F$14:$F$84,RAB!$C$14:$C$84,C927)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SUMIFS(RAB!$F$14:$F$84,RAB!$C$14:$C$84,C928)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SUMIFS(RAB!$F$14:$F$84,RAB!$C$14:$C$84,C929)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SUMIFS(RAB!$F$14:$F$84,RAB!$C$14:$C$84,C930)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SUMIFS(RAB!$F$14:$F$84,RAB!$C$14:$C$84,C931)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SUMIFS(RAB!$F$14:$F$84,RAB!$C$14:$C$84,C932)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SUMIFS(RAB!$F$14:$F$84,RAB!$C$14:$C$84,C933)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SUMIFS(RAB!$F$14:$F$84,RAB!$C$14:$C$84,C934)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SUMIFS(RAB!$F$14:$F$84,RAB!$C$14:$C$84,C935)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SUMIFS(RAB!$F$14:$F$84,RAB!$C$14:$C$84,C936)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SUMIFS(RAB!$F$14:$F$84,RAB!$C$14:$C$84,C937)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SUMIFS(RAB!$F$14:$F$84,RAB!$C$14:$C$84,C938)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SUMIFS(RAB!$F$14:$F$84,RAB!$C$14:$C$84,C939)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SUMIFS(RAB!$F$14:$F$84,RAB!$C$14:$C$84,C940)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SUMIFS(RAB!$F$14:$F$84,RAB!$C$14:$C$84,C941)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SUMIFS(RAB!$F$14:$F$84,RAB!$C$14:$C$84,C942)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SUMIFS(RAB!$F$14:$F$84,RAB!$C$14:$C$84,C943)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SUMIFS(RAB!$F$14:$F$84,RAB!$C$14:$C$84,C944)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SUMIFS(RAB!$F$14:$F$84,RAB!$C$14:$C$84,C945)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SUMIFS(RAB!$F$14:$F$84,RAB!$C$14:$C$84,C946)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SUMIFS(RAB!$F$14:$F$84,RAB!$C$14:$C$84,C947)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SUMIFS(RAB!$F$14:$F$84,RAB!$C$14:$C$84,C948)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SUMIFS(RAB!$F$14:$F$84,RAB!$C$14:$C$84,C949)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SUMIFS(RAB!$F$14:$F$84,RAB!$C$14:$C$84,C950)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SUMIFS(RAB!$F$14:$F$84,RAB!$C$14:$C$84,C951)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SUMIFS(RAB!$F$14:$F$84,RAB!$C$14:$C$84,C952)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SUMIFS(RAB!$F$14:$F$84,RAB!$C$14:$C$84,C953)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SUMIFS(RAB!$F$14:$F$84,RAB!$C$14:$C$84,C954)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SUMIFS(RAB!$F$14:$F$84,RAB!$C$14:$C$84,C955)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SUMIFS(RAB!$F$14:$F$84,RAB!$C$14:$C$84,C956)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SUMIFS(RAB!$F$14:$F$84,RAB!$C$14:$C$84,C957)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SUMIFS(RAB!$F$14:$F$84,RAB!$C$14:$C$84,C958)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SUMIFS(RAB!$F$14:$F$84,RAB!$C$14:$C$84,C959)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SUMIFS(RAB!$F$14:$F$84,RAB!$C$14:$C$84,C960)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SUMIFS(RAB!$F$14:$F$84,RAB!$C$14:$C$84,C961)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SUMIFS(RAB!$F$14:$F$84,RAB!$C$14:$C$84,C962)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SUMIFS(RAB!$F$14:$F$84,RAB!$C$14:$C$84,C963)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SUMIFS(RAB!$F$14:$F$84,RAB!$C$14:$C$84,C964)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SUMIFS(RAB!$F$14:$F$84,RAB!$C$14:$C$84,C965)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SUMIFS(RAB!$F$14:$F$84,RAB!$C$14:$C$84,C966)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SUMIFS(RAB!$F$14:$F$84,RAB!$C$14:$C$84,C967)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SUMIFS(RAB!$F$14:$F$84,RAB!$C$14:$C$84,C968)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SUMIFS(RAB!$F$14:$F$84,RAB!$C$14:$C$84,C969)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SUMIFS(RAB!$F$14:$F$84,RAB!$C$14:$C$84,C970)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SUMIFS(RAB!$F$14:$F$84,RAB!$C$14:$C$84,C971)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SUMIFS(RAB!$F$14:$F$84,RAB!$C$14:$C$84,C972)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SUMIFS(RAB!$F$14:$F$84,RAB!$C$14:$C$84,C973)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SUMIFS(RAB!$F$14:$F$84,RAB!$C$14:$C$84,C974)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SUMIFS(RAB!$F$14:$F$84,RAB!$C$14:$C$84,C975)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SUMIFS(RAB!$F$14:$F$84,RAB!$C$14:$C$84,C976)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SUMIFS(RAB!$F$14:$F$84,RAB!$C$14:$C$84,C977)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SUMIFS(RAB!$F$14:$F$84,RAB!$C$14:$C$84,C978)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SUMIFS(RAB!$F$14:$F$84,RAB!$C$14:$C$84,C979)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SUMIFS(RAB!$F$14:$F$84,RAB!$C$14:$C$84,C980)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SUMIFS(RAB!$F$14:$F$84,RAB!$C$14:$C$84,C981)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SUMIFS(RAB!$F$14:$F$84,RAB!$C$14:$C$84,C982)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SUMIFS(RAB!$F$14:$F$84,RAB!$C$14:$C$84,C983)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SUMIFS(RAB!$F$14:$F$84,RAB!$C$14:$C$84,C984)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SUMIFS(RAB!$F$14:$F$84,RAB!$C$14:$C$84,C985)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SUMIFS(RAB!$F$14:$F$84,RAB!$C$14:$C$84,C986)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SUMIFS(RAB!$F$14:$F$84,RAB!$C$14:$C$84,C987)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SUMIFS(RAB!$F$14:$F$84,RAB!$C$14:$C$84,C988)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SUMIFS(RAB!$F$14:$F$84,RAB!$C$14:$C$84,C989)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SUMIFS(RAB!$F$14:$F$84,RAB!$C$14:$C$84,C990)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SUMIFS(RAB!$F$14:$F$84,RAB!$C$14:$C$84,C991)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SUMIFS(RAB!$F$14:$F$84,RAB!$C$14:$C$84,C992)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SUMIFS(RAB!$F$14:$F$84,RAB!$C$14:$C$84,C993)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SUMIFS(RAB!$F$14:$F$84,RAB!$C$14:$C$84,C994)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SUMIFS(RAB!$F$14:$F$84,RAB!$C$14:$C$84,C995)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SUMIFS(RAB!$F$14:$F$84,RAB!$C$14:$C$84,C996)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SUMIFS(RAB!$F$14:$F$84,RAB!$C$14:$C$84,C997)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SUMIFS(RAB!$F$14:$F$84,RAB!$C$14:$C$84,C998)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SUMIFS(RAB!$F$14:$F$84,RAB!$C$14:$C$84,C999)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SUMIFS(RAB!$F$14:$F$84,RAB!$C$14:$C$84,C1000)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SUMIFS(RAB!$F$14:$F$84,RAB!$C$14:$C$84,C1001)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SUMIFS(RAB!$F$14:$F$84,RAB!$C$14:$C$84,C1002)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SUMIFS(RAB!$F$14:$F$84,RAB!$C$14:$C$84,C1003)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SUMIFS(RAB!$F$14:$F$84,RAB!$C$14:$C$84,C1004)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SUMIFS(RAB!$F$14:$F$84,RAB!$C$14:$C$84,C1005)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SUMIFS(RAB!$F$14:$F$84,RAB!$C$14:$C$84,C1006)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SUMIFS(RAB!$F$14:$F$84,RAB!$C$14:$C$84,C1007)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SUMIFS(RAB!$F$14:$F$84,RAB!$C$14:$C$84,C1008)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SUMIFS(RAB!$F$14:$F$84,RAB!$C$14:$C$84,C1009)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SUMIFS(RAB!$F$14:$F$84,RAB!$C$14:$C$84,C1010)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SUMIFS(RAB!$F$14:$F$84,RAB!$C$14:$C$84,C1011)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SUMIFS(RAB!$F$14:$F$84,RAB!$C$14:$C$84,C1012)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SUMIFS(RAB!$F$14:$F$84,RAB!$C$14:$C$84,C1013)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SUMIFS(RAB!$F$14:$F$84,RAB!$C$14:$C$84,C1014)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SUMIFS(RAB!$F$14:$F$84,RAB!$C$14:$C$84,C1015)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SUMIFS(RAB!$F$14:$F$84,RAB!$C$14:$C$84,C1016)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SUMIFS(RAB!$F$14:$F$84,RAB!$C$14:$C$84,C1017)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SUMIFS(RAB!$F$14:$F$84,RAB!$C$14:$C$84,C1018)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SUMIFS(RAB!$F$14:$F$84,RAB!$C$14:$C$84,C1019)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SUMIFS(RAB!$F$14:$F$84,RAB!$C$14:$C$84,C1020)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SUMIFS(RAB!$F$14:$F$84,RAB!$C$14:$C$84,C1021)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SUMIFS(RAB!$F$14:$F$84,RAB!$C$14:$C$84,C1022)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SUMIFS(RAB!$F$14:$F$84,RAB!$C$14:$C$84,C1023)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SUMIFS(RAB!$F$14:$F$84,RAB!$C$14:$C$84,C1024)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SUMIFS(RAB!$F$14:$F$84,RAB!$C$14:$C$84,C1025)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SUMIFS(RAB!$F$14:$F$84,RAB!$C$14:$C$84,C1026)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SUMIFS(RAB!$F$14:$F$84,RAB!$C$14:$C$84,C1027)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SUMIFS(RAB!$F$14:$F$84,RAB!$C$14:$C$84,C1028)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SUMIFS(RAB!$F$14:$F$84,RAB!$C$14:$C$84,C1029)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SUMIFS(RAB!$F$14:$F$84,RAB!$C$14:$C$84,C1030)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SUMIFS(RAB!$F$14:$F$84,RAB!$C$14:$C$84,C1031)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SUMIFS(RAB!$F$14:$F$84,RAB!$C$14:$C$84,C1032)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SUMIFS(RAB!$F$14:$F$84,RAB!$C$14:$C$84,C1033)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SUMIFS(RAB!$F$14:$F$84,RAB!$C$14:$C$84,C1034)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SUMIFS(RAB!$F$14:$F$84,RAB!$C$14:$C$84,C1035)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SUMIFS(RAB!$F$14:$F$84,RAB!$C$14:$C$84,C1036)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SUMIFS(RAB!$F$14:$F$84,RAB!$C$14:$C$84,C1037)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SUMIFS(RAB!$F$14:$F$84,RAB!$C$14:$C$84,C1038)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SUMIFS(RAB!$F$14:$F$84,RAB!$C$14:$C$84,C1039)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SUMIFS(RAB!$F$14:$F$84,RAB!$C$14:$C$84,C1040)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SUMIFS(RAB!$F$14:$F$84,RAB!$C$14:$C$84,C1041)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SUMIFS(RAB!$F$14:$F$84,RAB!$C$14:$C$84,C1042)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SUMIFS(RAB!$F$14:$F$84,RAB!$C$14:$C$84,C1043)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SUMIFS(RAB!$F$14:$F$84,RAB!$C$14:$C$84,C1044)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SUMIFS(RAB!$F$14:$F$84,RAB!$C$14:$C$84,C1045)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SUMIFS(RAB!$F$14:$F$84,RAB!$C$14:$C$84,C1046)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SUMIFS(RAB!$F$14:$F$84,RAB!$C$14:$C$84,C1047)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SUMIFS(RAB!$F$14:$F$84,RAB!$C$14:$C$84,C1048)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SUMIFS(RAB!$F$14:$F$84,RAB!$C$14:$C$84,C1049)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SUMIFS(RAB!$F$14:$F$84,RAB!$C$14:$C$84,C1050)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SUMIFS(RAB!$F$14:$F$84,RAB!$C$14:$C$84,C1051)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SUMIFS(RAB!$F$14:$F$84,RAB!$C$14:$C$84,C1052)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SUMIFS(RAB!$F$14:$F$84,RAB!$C$14:$C$84,C1053)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SUMIFS(RAB!$F$14:$F$84,RAB!$C$14:$C$84,C1054)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SUMIFS(RAB!$F$14:$F$84,RAB!$C$14:$C$84,C1055)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SUMIFS(RAB!$F$14:$F$84,RAB!$C$14:$C$84,C1056)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SUMIFS(RAB!$F$14:$F$84,RAB!$C$14:$C$84,C1057)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SUMIFS(RAB!$F$14:$F$84,RAB!$C$14:$C$84,C1058)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SUMIFS(RAB!$F$14:$F$84,RAB!$C$14:$C$84,C1059)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SUMIFS(RAB!$F$14:$F$84,RAB!$C$14:$C$84,C1060)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SUMIFS(RAB!$F$14:$F$84,RAB!$C$14:$C$84,C1061)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SUMIFS(RAB!$F$14:$F$84,RAB!$C$14:$C$84,C1062)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SUMIFS(RAB!$F$14:$F$84,RAB!$C$14:$C$84,C1063)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SUMIFS(RAB!$F$14:$F$84,RAB!$C$14:$C$84,C1064)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SUMIFS(RAB!$F$14:$F$84,RAB!$C$14:$C$84,C1065)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SUMIFS(RAB!$F$14:$F$84,RAB!$C$14:$C$84,C1066)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SUMIFS(RAB!$F$14:$F$84,RAB!$C$14:$C$84,C1067)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SUMIFS(RAB!$F$14:$F$84,RAB!$C$14:$C$84,C1068)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SUMIFS(RAB!$F$14:$F$84,RAB!$C$14:$C$84,C1069)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SUMIFS(RAB!$F$14:$F$84,RAB!$C$14:$C$84,C1070)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SUMIFS(RAB!$F$14:$F$84,RAB!$C$14:$C$84,C1071)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SUMIFS(RAB!$F$14:$F$84,RAB!$C$14:$C$84,C1072)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SUMIFS(RAB!$F$14:$F$84,RAB!$C$14:$C$84,C1073)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SUMIFS(RAB!$F$14:$F$84,RAB!$C$14:$C$84,C1074)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SUMIFS(RAB!$F$14:$F$84,RAB!$C$14:$C$84,C1075)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SUMIFS(RAB!$F$14:$F$84,RAB!$C$14:$C$84,C1076)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SUMIFS(RAB!$F$14:$F$84,RAB!$C$14:$C$84,C1077)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SUMIFS(RAB!$F$14:$F$84,RAB!$C$14:$C$84,C1078)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SUMIFS(RAB!$F$14:$F$84,RAB!$C$14:$C$84,C1079)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SUMIFS(RAB!$F$14:$F$84,RAB!$C$14:$C$84,C1080)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SUMIFS(RAB!$F$14:$F$84,RAB!$C$14:$C$84,C1081)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SUMIFS(RAB!$F$14:$F$84,RAB!$C$14:$C$84,C1082)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SUMIFS(RAB!$F$14:$F$84,RAB!$C$14:$C$84,C1083)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SUMIFS(RAB!$F$14:$F$84,RAB!$C$14:$C$84,C1084)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SUMIFS(RAB!$F$14:$F$84,RAB!$C$14:$C$84,C1085)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SUMIFS(RAB!$F$14:$F$84,RAB!$C$14:$C$84,C1086)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SUMIFS(RAB!$F$14:$F$84,RAB!$C$14:$C$84,C1087)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SUMIFS(RAB!$F$14:$F$84,RAB!$C$14:$C$84,C1088)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SUMIFS(RAB!$F$14:$F$84,RAB!$C$14:$C$84,C1089)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SUMIFS(RAB!$F$14:$F$84,RAB!$C$14:$C$84,C1090)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SUMIFS(RAB!$F$14:$F$84,RAB!$C$14:$C$84,C1091)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SUMIFS(RAB!$F$14:$F$84,RAB!$C$14:$C$84,C1092)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SUMIFS(RAB!$F$14:$F$84,RAB!$C$14:$C$84,C1093)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SUMIFS(RAB!$F$14:$F$84,RAB!$C$14:$C$84,C1094)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SUMIFS(RAB!$F$14:$F$84,RAB!$C$14:$C$84,C1095)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SUMIFS(RAB!$F$14:$F$84,RAB!$C$14:$C$84,C1096)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SUMIFS(RAB!$F$14:$F$84,RAB!$C$14:$C$84,C1097)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SUMIFS(RAB!$F$14:$F$84,RAB!$C$14:$C$84,C1098)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SUMIFS(RAB!$F$14:$F$84,RAB!$C$14:$C$84,C1099)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SUMIFS(RAB!$F$14:$F$84,RAB!$C$14:$C$84,C1100)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SUMIFS(RAB!$F$14:$F$84,RAB!$C$14:$C$84,C1101)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SUMIFS(RAB!$F$14:$F$84,RAB!$C$14:$C$84,C1102)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SUMIFS(RAB!$F$14:$F$84,RAB!$C$14:$C$84,C1103)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SUMIFS(RAB!$F$14:$F$84,RAB!$C$14:$C$84,C1104)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SUMIFS(RAB!$F$14:$F$84,RAB!$C$14:$C$84,C1105)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SUMIFS(RAB!$F$14:$F$84,RAB!$C$14:$C$84,C1106)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SUMIFS(RAB!$F$14:$F$84,RAB!$C$14:$C$84,C1107)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SUMIFS(RAB!$F$14:$F$84,RAB!$C$14:$C$84,C1108)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SUMIFS(RAB!$F$14:$F$84,RAB!$C$14:$C$84,C1109)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SUMIFS(RAB!$F$14:$F$84,RAB!$C$14:$C$84,C1110)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SUMIFS(RAB!$F$14:$F$84,RAB!$C$14:$C$84,C1111)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SUMIFS(RAB!$F$14:$F$84,RAB!$C$14:$C$84,C1112)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SUMIFS(RAB!$F$14:$F$84,RAB!$C$14:$C$84,C1113)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SUMIFS(RAB!$F$14:$F$84,RAB!$C$14:$C$84,C1114)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SUMIFS(RAB!$F$14:$F$84,RAB!$C$14:$C$84,C1115)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SUMIFS(RAB!$F$14:$F$84,RAB!$C$14:$C$84,C1116)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SUMIFS(RAB!$F$14:$F$84,RAB!$C$14:$C$84,C1117)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SUMIFS(RAB!$F$14:$F$84,RAB!$C$14:$C$84,C1118)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SUMIFS(RAB!$F$14:$F$84,RAB!$C$14:$C$84,C1119)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SUMIFS(RAB!$F$14:$F$84,RAB!$C$14:$C$84,C1120)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SUMIFS(RAB!$F$14:$F$84,RAB!$C$14:$C$84,C1121)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SUMIFS(RAB!$F$14:$F$84,RAB!$C$14:$C$84,C1122)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SUMIFS(RAB!$F$14:$F$84,RAB!$C$14:$C$84,C1123)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SUMIFS(RAB!$F$14:$F$84,RAB!$C$14:$C$84,C1124)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SUMIFS(RAB!$F$14:$F$84,RAB!$C$14:$C$84,C1125)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SUMIFS(RAB!$F$14:$F$84,RAB!$C$14:$C$84,C1126)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SUMIFS(RAB!$F$14:$F$84,RAB!$C$14:$C$84,C1127)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SUMIFS(RAB!$F$14:$F$84,RAB!$C$14:$C$84,C1128)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SUMIFS(RAB!$F$14:$F$84,RAB!$C$14:$C$84,C1129)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SUMIFS(RAB!$F$14:$F$84,RAB!$C$14:$C$84,C1130)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SUMIFS(RAB!$F$14:$F$84,RAB!$C$14:$C$84,C1131)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SUMIFS(RAB!$F$14:$F$84,RAB!$C$14:$C$84,C1132)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SUMIFS(RAB!$F$14:$F$84,RAB!$C$14:$C$84,C1133)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SUMIFS(RAB!$F$14:$F$84,RAB!$C$14:$C$84,C1134)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SUMIFS(RAB!$F$14:$F$84,RAB!$C$14:$C$84,C1135)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SUMIFS(RAB!$F$14:$F$84,RAB!$C$14:$C$84,C1136)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SUMIFS(RAB!$F$14:$F$84,RAB!$C$14:$C$84,C1137)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SUMIFS(RAB!$F$14:$F$84,RAB!$C$14:$C$84,C1138)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SUMIFS(RAB!$F$14:$F$84,RAB!$C$14:$C$84,C1139)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SUMIFS(RAB!$F$14:$F$84,RAB!$C$14:$C$84,C1140)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SUMIFS(RAB!$F$14:$F$84,RAB!$C$14:$C$84,C1141)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SUMIFS(RAB!$F$14:$F$84,RAB!$C$14:$C$84,C1142)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SUMIFS(RAB!$F$14:$F$84,RAB!$C$14:$C$84,C1143)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SUMIFS(RAB!$F$14:$F$84,RAB!$C$14:$C$84,C1144)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SUMIFS(RAB!$F$14:$F$84,RAB!$C$14:$C$84,C1145)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SUMIFS(RAB!$F$14:$F$84,RAB!$C$14:$C$84,C1146)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SUMIFS(RAB!$F$14:$F$84,RAB!$C$14:$C$84,C1147)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SUMIFS(RAB!$F$14:$F$84,RAB!$C$14:$C$84,C1148)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SUMIFS(RAB!$F$14:$F$84,RAB!$C$14:$C$84,C1149)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SUMIFS(RAB!$F$14:$F$84,RAB!$C$14:$C$84,C1150)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SUMIFS(RAB!$F$14:$F$84,RAB!$C$14:$C$84,C1151)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SUMIFS(RAB!$F$14:$F$84,RAB!$C$14:$C$84,C1152)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SUMIFS(RAB!$F$14:$F$84,RAB!$C$14:$C$84,C1153)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SUMIFS(RAB!$F$14:$F$84,RAB!$C$14:$C$84,C1154)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SUMIFS(RAB!$F$14:$F$84,RAB!$C$14:$C$84,C1155)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SUMIFS(RAB!$F$14:$F$84,RAB!$C$14:$C$84,C1156)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SUMIFS(RAB!$F$14:$F$84,RAB!$C$14:$C$84,C1157)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SUMIFS(RAB!$F$14:$F$84,RAB!$C$14:$C$84,C1158)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SUMIFS(RAB!$F$14:$F$84,RAB!$C$14:$C$84,C1159)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SUMIFS(RAB!$F$14:$F$84,RAB!$C$14:$C$84,C1160)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SUMIFS(RAB!$F$14:$F$84,RAB!$C$14:$C$84,C1161)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SUMIFS(RAB!$F$14:$F$84,RAB!$C$14:$C$84,C1162)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SUMIFS(RAB!$F$14:$F$84,RAB!$C$14:$C$84,C1163)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SUMIFS(RAB!$F$14:$F$84,RAB!$C$14:$C$84,C1164)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SUMIFS(RAB!$F$14:$F$84,RAB!$C$14:$C$84,C1165)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SUMIFS(RAB!$F$14:$F$84,RAB!$C$14:$C$84,C1166)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SUMIFS(RAB!$F$14:$F$84,RAB!$C$14:$C$84,C1167)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SUMIFS(RAB!$F$14:$F$84,RAB!$C$14:$C$84,C1168)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SUMIFS(RAB!$F$14:$F$84,RAB!$C$14:$C$84,C1169)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SUMIFS(RAB!$F$14:$F$84,RAB!$C$14:$C$84,C1170)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SUMIFS(RAB!$F$14:$F$84,RAB!$C$14:$C$84,C1171)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SUMIFS(RAB!$F$14:$F$84,RAB!$C$14:$C$84,C1172)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SUMIFS(RAB!$F$14:$F$84,RAB!$C$14:$C$84,C1173)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SUMIFS(RAB!$F$14:$F$84,RAB!$C$14:$C$84,C1174)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SUMIFS(RAB!$F$14:$F$84,RAB!$C$14:$C$84,C1175)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SUMIFS(RAB!$F$14:$F$84,RAB!$C$14:$C$84,C1176)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SUMIFS(RAB!$F$14:$F$84,RAB!$C$14:$C$84,C1177)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SUMIFS(RAB!$F$14:$F$84,RAB!$C$14:$C$84,C1178)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SUMIFS(RAB!$F$14:$F$84,RAB!$C$14:$C$84,C1179)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SUMIFS(RAB!$F$14:$F$84,RAB!$C$14:$C$84,C1180)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SUMIFS(RAB!$F$14:$F$84,RAB!$C$14:$C$84,C1181)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SUMIFS(RAB!$F$14:$F$84,RAB!$C$14:$C$84,C1182)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SUMIFS(RAB!$F$14:$F$84,RAB!$C$14:$C$84,C1183)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SUMIFS(RAB!$F$14:$F$84,RAB!$C$14:$C$84,C1184)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SUMIFS(RAB!$F$14:$F$84,RAB!$C$14:$C$84,C1185)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SUMIFS(RAB!$F$14:$F$84,RAB!$C$14:$C$84,C1186)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SUMIFS(RAB!$F$14:$F$84,RAB!$C$14:$C$84,C1187)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SUMIFS(RAB!$F$14:$F$84,RAB!$C$14:$C$84,C1188)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SUMIFS(RAB!$F$14:$F$84,RAB!$C$14:$C$84,C1189)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SUMIFS(RAB!$F$14:$F$84,RAB!$C$14:$C$84,C1190)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SUMIFS(RAB!$F$14:$F$84,RAB!$C$14:$C$84,C1191)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SUMIFS(RAB!$F$14:$F$84,RAB!$C$14:$C$84,C1192)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SUMIFS(RAB!$F$14:$F$84,RAB!$C$14:$C$84,C1193)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SUMIFS(RAB!$F$14:$F$84,RAB!$C$14:$C$84,C1194)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SUMIFS(RAB!$F$14:$F$84,RAB!$C$14:$C$84,C1195)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SUMIFS(RAB!$F$14:$F$84,RAB!$C$14:$C$84,C1196)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SUMIFS(RAB!$F$14:$F$84,RAB!$C$14:$C$84,C1197)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SUMIFS(RAB!$F$14:$F$84,RAB!$C$14:$C$84,C1198)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SUMIFS(RAB!$F$14:$F$84,RAB!$C$14:$C$84,C1199)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SUMIFS(RAB!$F$14:$F$84,RAB!$C$14:$C$84,C1200)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SUMIFS(RAB!$F$14:$F$84,RAB!$C$14:$C$84,C1201)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SUMIFS(RAB!$F$14:$F$84,RAB!$C$14:$C$84,C1202)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SUMIFS(RAB!$F$14:$F$84,RAB!$C$14:$C$84,C1203)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SUMIFS(RAB!$F$14:$F$84,RAB!$C$14:$C$84,C1204)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SUMIFS(RAB!$F$14:$F$84,RAB!$C$14:$C$84,C1205)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SUMIFS(RAB!$F$14:$F$84,RAB!$C$14:$C$84,C1206)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SUMIFS(RAB!$F$14:$F$84,RAB!$C$14:$C$84,C1207)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SUMIFS(RAB!$F$14:$F$84,RAB!$C$14:$C$84,C1208)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SUMIFS(RAB!$F$14:$F$84,RAB!$C$14:$C$84,C1209)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SUMIFS(RAB!$F$14:$F$84,RAB!$C$14:$C$84,C1210)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SUMIFS(RAB!$F$14:$F$84,RAB!$C$14:$C$84,C1211)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SUMIFS(RAB!$F$14:$F$84,RAB!$C$14:$C$84,C1212)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SUMIFS(RAB!$F$14:$F$84,RAB!$C$14:$C$84,C1213)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SUMIFS(RAB!$F$14:$F$84,RAB!$C$14:$C$84,C1214)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SUMIFS(RAB!$F$14:$F$84,RAB!$C$14:$C$84,C1215)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SUMIFS(RAB!$F$14:$F$84,RAB!$C$14:$C$84,C1216)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SUMIFS(RAB!$F$14:$F$84,RAB!$C$14:$C$84,C1217)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SUMIFS(RAB!$F$14:$F$84,RAB!$C$14:$C$84,C1218)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SUMIFS(RAB!$F$14:$F$84,RAB!$C$14:$C$84,C1219)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SUMIFS(RAB!$F$14:$F$84,RAB!$C$14:$C$84,C1220)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SUMIFS(RAB!$F$14:$F$84,RAB!$C$14:$C$84,C1221)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SUMIFS(RAB!$F$14:$F$84,RAB!$C$14:$C$84,C1222)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SUMIFS(RAB!$F$14:$F$84,RAB!$C$14:$C$84,C1223)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SUMIFS(RAB!$F$14:$F$84,RAB!$C$14:$C$84,C1224)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SUMIFS(RAB!$F$14:$F$84,RAB!$C$14:$C$84,C1225)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SUMIFS(RAB!$F$14:$F$84,RAB!$C$14:$C$84,C1226)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SUMIFS(RAB!$F$14:$F$84,RAB!$C$14:$C$84,C1227)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SUMIFS(RAB!$F$14:$F$84,RAB!$C$14:$C$84,C1228)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SUMIFS(RAB!$F$14:$F$84,RAB!$C$14:$C$84,C1229)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SUMIFS(RAB!$F$14:$F$84,RAB!$C$14:$C$84,C1230)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SUMIFS(RAB!$F$14:$F$84,RAB!$C$14:$C$84,C1231)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SUMIFS(RAB!$F$14:$F$84,RAB!$C$14:$C$84,C1232)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SUMIFS(RAB!$F$14:$F$84,RAB!$C$14:$C$84,C1233)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SUMIFS(RAB!$F$14:$F$84,RAB!$C$14:$C$84,C1234)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SUMIFS(RAB!$F$14:$F$84,RAB!$C$14:$C$84,C1235)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SUMIFS(RAB!$F$14:$F$84,RAB!$C$14:$C$84,C1236)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SUMIFS(RAB!$F$14:$F$84,RAB!$C$14:$C$84,C1237)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SUMIFS(RAB!$F$14:$F$84,RAB!$C$14:$C$84,C1238)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SUMIFS(RAB!$F$14:$F$84,RAB!$C$14:$C$84,C1239)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SUMIFS(RAB!$F$14:$F$84,RAB!$C$14:$C$84,C1240)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SUMIFS(RAB!$F$14:$F$84,RAB!$C$14:$C$84,C1241)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SUMIFS(RAB!$F$14:$F$84,RAB!$C$14:$C$84,C1242)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SUMIFS(RAB!$F$14:$F$84,RAB!$C$14:$C$84,C1243)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SUMIFS(RAB!$F$14:$F$84,RAB!$C$14:$C$84,C1244)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SUMIFS(RAB!$F$14:$F$84,RAB!$C$14:$C$84,C1245)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SUMIFS(RAB!$F$14:$F$84,RAB!$C$14:$C$84,C1246)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SUMIFS(RAB!$F$14:$F$84,RAB!$C$14:$C$84,C1247)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SUMIFS(RAB!$F$14:$F$84,RAB!$C$14:$C$84,C1248)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SUMIFS(RAB!$F$14:$F$84,RAB!$C$14:$C$84,C1249)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SUMIFS(RAB!$F$14:$F$84,RAB!$C$14:$C$84,C1250)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SUMIFS(RAB!$F$14:$F$84,RAB!$C$14:$C$84,C1251)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SUMIFS(RAB!$F$14:$F$84,RAB!$C$14:$C$84,C1252)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SUMIFS(RAB!$F$14:$F$84,RAB!$C$14:$C$84,C1253)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SUMIFS(RAB!$F$14:$F$84,RAB!$C$14:$C$84,C1254)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SUMIFS(RAB!$F$14:$F$84,RAB!$C$14:$C$84,C1255)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SUMIFS(RAB!$F$14:$F$84,RAB!$C$14:$C$84,C1256)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SUMIFS(RAB!$F$14:$F$84,RAB!$C$14:$C$84,C1257)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SUMIFS(RAB!$F$14:$F$84,RAB!$C$14:$C$84,C1258)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SUMIFS(RAB!$F$14:$F$84,RAB!$C$14:$C$84,C1259)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SUMIFS(RAB!$F$14:$F$84,RAB!$C$14:$C$84,C1260)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SUMIFS(RAB!$F$14:$F$84,RAB!$C$14:$C$84,C1261)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SUMIFS(RAB!$F$14:$F$84,RAB!$C$14:$C$84,C1262)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SUMIFS(RAB!$F$14:$F$84,RAB!$C$14:$C$84,C1263)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SUMIFS(RAB!$F$14:$F$84,RAB!$C$14:$C$84,C1264)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SUMIFS(RAB!$F$14:$F$84,RAB!$C$14:$C$84,C1265)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SUMIFS(RAB!$F$14:$F$84,RAB!$C$14:$C$84,C1266)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SUMIFS(RAB!$F$14:$F$84,RAB!$C$14:$C$84,C1267)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SUMIFS(RAB!$F$14:$F$84,RAB!$C$14:$C$84,C1268)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SUMIFS(RAB!$F$14:$F$84,RAB!$C$14:$C$84,C1269)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SUMIFS(RAB!$F$14:$F$84,RAB!$C$14:$C$84,C1270)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SUMIFS(RAB!$F$14:$F$84,RAB!$C$14:$C$84,C1271)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SUMIFS(RAB!$F$14:$F$84,RAB!$C$14:$C$84,C1272)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SUMIFS(RAB!$F$14:$F$84,RAB!$C$14:$C$84,C1273)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SUMIFS(RAB!$F$14:$F$84,RAB!$C$14:$C$84,C1274)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SUMIFS(RAB!$F$14:$F$84,RAB!$C$14:$C$84,C1275)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SUMIFS(RAB!$F$14:$F$84,RAB!$C$14:$C$84,C1276)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SUMIFS(RAB!$F$14:$F$84,RAB!$C$14:$C$84,C1277)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SUMIFS(RAB!$F$14:$F$84,RAB!$C$14:$C$84,C1278)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SUMIFS(RAB!$F$14:$F$84,RAB!$C$14:$C$84,C1279)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SUMIFS(RAB!$F$14:$F$84,RAB!$C$14:$C$84,C1280)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SUMIFS(RAB!$F$14:$F$84,RAB!$C$14:$C$84,C1281)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SUMIFS(RAB!$F$14:$F$84,RAB!$C$14:$C$84,C1282)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SUMIFS(RAB!$F$14:$F$84,RAB!$C$14:$C$84,C1283)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SUMIFS(RAB!$F$14:$F$84,RAB!$C$14:$C$84,C1284)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SUMIFS(RAB!$F$14:$F$84,RAB!$C$14:$C$84,C1285)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SUMIFS(RAB!$F$14:$F$84,RAB!$C$14:$C$84,C1286)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SUMIFS(RAB!$F$14:$F$84,RAB!$C$14:$C$84,C1287)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SUMIFS(RAB!$F$14:$F$84,RAB!$C$14:$C$84,C1288)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SUMIFS(RAB!$F$14:$F$84,RAB!$C$14:$C$84,C1289)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SUMIFS(RAB!$F$14:$F$84,RAB!$C$14:$C$84,C1290)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SUMIFS(RAB!$F$14:$F$84,RAB!$C$14:$C$84,C1291)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SUMIFS(RAB!$F$14:$F$84,RAB!$C$14:$C$84,C1292)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SUMIFS(RAB!$F$14:$F$84,RAB!$C$14:$C$84,C1293)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SUMIFS(RAB!$F$14:$F$84,RAB!$C$14:$C$84,C1294)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SUMIFS(RAB!$F$14:$F$84,RAB!$C$14:$C$84,C1295)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SUMIFS(RAB!$F$14:$F$84,RAB!$C$14:$C$84,C1296)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SUMIFS(RAB!$F$14:$F$84,RAB!$C$14:$C$84,C1297)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SUMIFS(RAB!$F$14:$F$84,RAB!$C$14:$C$84,C1298)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SUMIFS(RAB!$F$14:$F$84,RAB!$C$14:$C$84,C1299)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SUMIFS(RAB!$F$14:$F$84,RAB!$C$14:$C$84,C1300)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SUMIFS(RAB!$F$14:$F$84,RAB!$C$14:$C$84,C1301)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SUMIFS(RAB!$F$14:$F$84,RAB!$C$14:$C$84,C1302)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SUMIFS(RAB!$F$14:$F$84,RAB!$C$14:$C$84,C1303)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SUMIFS(RAB!$F$14:$F$84,RAB!$C$14:$C$84,C1304)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SUMIFS(RAB!$F$14:$F$84,RAB!$C$14:$C$84,C1305)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SUMIFS(RAB!$F$14:$F$84,RAB!$C$14:$C$84,C1306)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SUMIFS(RAB!$F$14:$F$84,RAB!$C$14:$C$84,C1307)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SUMIFS(RAB!$F$14:$F$84,RAB!$C$14:$C$84,C1308)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SUMIFS(RAB!$F$14:$F$84,RAB!$C$14:$C$84,C1309)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SUMIFS(RAB!$F$14:$F$84,RAB!$C$14:$C$84,C1310)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SUMIFS(RAB!$F$14:$F$84,RAB!$C$14:$C$84,C1311)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SUMIFS(RAB!$F$14:$F$84,RAB!$C$14:$C$84,C1312)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SUMIFS(RAB!$F$14:$F$84,RAB!$C$14:$C$84,C1313)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SUMIFS(RAB!$F$14:$F$84,RAB!$C$14:$C$84,C1314)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SUMIFS(RAB!$F$14:$F$84,RAB!$C$14:$C$84,C1315)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SUMIFS(RAB!$F$14:$F$84,RAB!$C$14:$C$84,C1316)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SUMIFS(RAB!$F$14:$F$84,RAB!$C$14:$C$84,C1317)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SUMIFS(RAB!$F$14:$F$84,RAB!$C$14:$C$84,C1318)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SUMIFS(RAB!$F$14:$F$84,RAB!$C$14:$C$84,C1319)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SUMIFS(RAB!$F$14:$F$84,RAB!$C$14:$C$84,C1320)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98" t="s">
        <v>1127</v>
      </c>
      <c r="C4" s="498"/>
      <c r="D4" s="498"/>
      <c r="E4" s="498"/>
      <c r="F4" s="498"/>
      <c r="G4" s="498"/>
      <c r="H4" s="498"/>
      <c r="I4" s="498"/>
      <c r="J4" s="498"/>
      <c r="K4" s="49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91" t="str">
        <f>RAB!G6</f>
        <v>PB Daya 16X900 VA WALUYO KOS GODONG</v>
      </c>
      <c r="H6" s="491"/>
      <c r="I6" s="491"/>
      <c r="J6" s="491"/>
      <c r="K6" s="49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DSN BULU RT 2 RW 4 DS HARJOWINANGUN KEC GODONG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99" t="s">
        <v>0</v>
      </c>
      <c r="C11" s="501" t="s">
        <v>1</v>
      </c>
      <c r="D11" s="504" t="s">
        <v>42</v>
      </c>
      <c r="E11" s="504" t="s">
        <v>43</v>
      </c>
      <c r="F11" s="504" t="s">
        <v>2</v>
      </c>
      <c r="G11" s="505" t="s">
        <v>41</v>
      </c>
      <c r="H11" s="504" t="s">
        <v>3</v>
      </c>
      <c r="I11" s="504"/>
      <c r="J11" s="504"/>
      <c r="K11" s="508"/>
      <c r="M11" s="33"/>
      <c r="N11" s="33"/>
      <c r="O11" s="33"/>
      <c r="P11" s="33"/>
      <c r="R11" s="34"/>
      <c r="S11" s="74"/>
      <c r="T11" s="74"/>
    </row>
    <row r="12" spans="1:21" ht="15" customHeight="1">
      <c r="B12" s="500"/>
      <c r="C12" s="502"/>
      <c r="D12" s="494"/>
      <c r="E12" s="494"/>
      <c r="F12" s="494"/>
      <c r="G12" s="506"/>
      <c r="H12" s="496" t="s">
        <v>46</v>
      </c>
      <c r="I12" s="496" t="s">
        <v>5</v>
      </c>
      <c r="J12" s="494" t="s">
        <v>47</v>
      </c>
      <c r="K12" s="49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0"/>
      <c r="C13" s="503"/>
      <c r="D13" s="494"/>
      <c r="E13" s="494"/>
      <c r="F13" s="494"/>
      <c r="G13" s="507"/>
      <c r="H13" s="497"/>
      <c r="I13" s="497"/>
      <c r="J13" s="494"/>
      <c r="K13" s="49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492" t="s">
        <v>1008</v>
      </c>
      <c r="D38" s="492"/>
      <c r="E38" s="492"/>
      <c r="F38" s="492"/>
      <c r="G38" s="77" t="s">
        <v>9</v>
      </c>
      <c r="H38" s="55">
        <f ca="1">SUM(H14:H37)</f>
        <v>0</v>
      </c>
      <c r="I38" s="55">
        <f ca="1">SUM(I14:I37)</f>
        <v>6765200</v>
      </c>
      <c r="J38" s="55">
        <f ca="1">SUM(J14:J37)</f>
        <v>0</v>
      </c>
      <c r="K38" s="55">
        <f ca="1">SUM(K14:K37)</f>
        <v>6765200</v>
      </c>
      <c r="L38" s="44"/>
      <c r="R38" s="99"/>
      <c r="S38" s="99"/>
      <c r="T38" s="99"/>
    </row>
    <row r="39" spans="1:20" s="36" customFormat="1">
      <c r="A39" s="30"/>
      <c r="B39" s="56"/>
      <c r="C39" s="493" t="s">
        <v>462</v>
      </c>
      <c r="D39" s="493"/>
      <c r="E39" s="493"/>
      <c r="F39" s="493"/>
      <c r="G39" s="59" t="s">
        <v>9</v>
      </c>
      <c r="H39" s="60">
        <f ca="1">H38*0.1</f>
        <v>0</v>
      </c>
      <c r="I39" s="60">
        <f ca="1">I38*0.1</f>
        <v>676520</v>
      </c>
      <c r="J39" s="60">
        <f ca="1">J38*0.1</f>
        <v>0</v>
      </c>
      <c r="K39" s="60">
        <f ca="1">K38*0.1</f>
        <v>676520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482" t="s">
        <v>463</v>
      </c>
      <c r="D40" s="482"/>
      <c r="E40" s="482"/>
      <c r="F40" s="482"/>
      <c r="G40" s="61" t="s">
        <v>9</v>
      </c>
      <c r="H40" s="78">
        <f ca="1">SUM(H38:H39)</f>
        <v>0</v>
      </c>
      <c r="I40" s="78">
        <f ca="1">SUM(I38:I39)</f>
        <v>7441720</v>
      </c>
      <c r="J40" s="61">
        <f ca="1">SUM(J38:J39)</f>
        <v>0</v>
      </c>
      <c r="K40" s="61">
        <f ca="1">SUM(K38:K39)</f>
        <v>7441720</v>
      </c>
      <c r="L40" s="44"/>
      <c r="R40" s="99"/>
      <c r="S40" s="99"/>
      <c r="T40" s="99"/>
    </row>
    <row r="41" spans="1:20" s="36" customFormat="1">
      <c r="A41" s="30"/>
      <c r="B41" s="485" t="e">
        <f ca="1">"Terbilang : ( "&amp;L42&amp;" Rupiah )"</f>
        <v>#NAME?</v>
      </c>
      <c r="C41" s="486"/>
      <c r="D41" s="486"/>
      <c r="E41" s="486"/>
      <c r="F41" s="486"/>
      <c r="G41" s="486"/>
      <c r="H41" s="486"/>
      <c r="I41" s="486"/>
      <c r="J41" s="486"/>
      <c r="K41" s="487"/>
      <c r="L41" s="44"/>
      <c r="R41" s="58"/>
      <c r="S41" s="58"/>
      <c r="T41" s="58"/>
    </row>
    <row r="42" spans="1:20" s="36" customFormat="1">
      <c r="A42" s="30"/>
      <c r="B42" s="488"/>
      <c r="C42" s="489"/>
      <c r="D42" s="489"/>
      <c r="E42" s="489"/>
      <c r="F42" s="489"/>
      <c r="G42" s="489"/>
      <c r="H42" s="489"/>
      <c r="I42" s="489"/>
      <c r="J42" s="489"/>
      <c r="K42" s="490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83"/>
      <c r="I45" s="483"/>
      <c r="J45" s="484"/>
      <c r="K45" s="48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83"/>
      <c r="I46" s="483"/>
      <c r="J46" s="484"/>
      <c r="K46" s="48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83"/>
      <c r="I47" s="483"/>
      <c r="J47" s="484"/>
      <c r="K47" s="48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83"/>
      <c r="I52" s="483"/>
      <c r="J52" s="484"/>
      <c r="K52" s="48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SUMIFS(RAB!$F$14:$F$84,RAB!$C$14:$C$84,'REKAP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SUMIFS(RAB!$F$14:$F$84,RAB!$C$14:$C$84,'REKAP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SUMIFS(RAB!$F$14:$F$84,RAB!$C$14:$C$84,'REKAP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SUMIFS(RAB!$F$14:$F$84,RAB!$C$14:$C$84,'REKAP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SUMIFS(RAB!$F$14:$F$84,RAB!$C$14:$C$84,'REKAP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SUMIFS(RAB!$F$14:$F$84,RAB!$C$14:$C$84,'REKAP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SUMIFS(RAB!$F$14:$F$84,RAB!$C$14:$C$84,'REKAP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SUMIFS(RAB!$F$14:$F$84,RAB!$C$14:$C$84,'REKAP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SUMIFS(RAB!$F$14:$F$84,RAB!$C$14:$C$84,'REKAP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SUMIFS(RAB!$F$14:$F$84,RAB!$C$14:$C$84,'REKAP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SUMIFS(RAB!$F$14:$F$84,RAB!$C$14:$C$84,'REKAP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SUMIFS(RAB!$F$14:$F$84,RAB!$C$14:$C$84,'REKAP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SUMIFS(RAB!$F$14:$F$84,RAB!$C$14:$C$84,'REKAP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SUMIFS(RAB!$F$14:$F$84,RAB!$C$14:$C$84,'REKAP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SUMIFS(RAB!$F$14:$F$84,RAB!$C$14:$C$84,'REKAP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SUMIFS(RAB!$F$14:$F$84,RAB!$C$14:$C$84,'REKAP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SUMIFS(RAB!$F$14:$F$84,RAB!$C$14:$C$84,'REKAP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SUMIFS(RAB!$F$14:$F$84,RAB!$C$14:$C$84,'REKAP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SUMIFS(RAB!$F$14:$F$84,RAB!$C$14:$C$84,'REKAP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SUMIFS(RAB!$F$14:$F$84,RAB!$C$14:$C$84,'REKAP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98" t="s">
        <v>1034</v>
      </c>
      <c r="C4" s="498"/>
      <c r="D4" s="498"/>
      <c r="E4" s="498"/>
      <c r="F4" s="498"/>
      <c r="G4" s="498"/>
      <c r="H4" s="498"/>
      <c r="I4" s="498"/>
      <c r="J4" s="498"/>
      <c r="K4" s="49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91" t="str">
        <f>RAB!G6</f>
        <v>PB Daya 16X900 VA WALUYO KOS GODONG</v>
      </c>
      <c r="H6" s="491"/>
      <c r="I6" s="491"/>
      <c r="J6" s="491"/>
      <c r="K6" s="49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DSN BULU RT 2 RW 4 DS HARJOWINANGUN KEC GODONG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99" t="s">
        <v>0</v>
      </c>
      <c r="C11" s="501" t="s">
        <v>1</v>
      </c>
      <c r="D11" s="504" t="s">
        <v>42</v>
      </c>
      <c r="E11" s="504" t="s">
        <v>43</v>
      </c>
      <c r="F11" s="504" t="s">
        <v>2</v>
      </c>
      <c r="G11" s="505" t="s">
        <v>41</v>
      </c>
      <c r="H11" s="504" t="s">
        <v>3</v>
      </c>
      <c r="I11" s="504"/>
      <c r="J11" s="504"/>
      <c r="K11" s="508"/>
      <c r="M11" s="33"/>
      <c r="N11" s="33"/>
      <c r="O11" s="33"/>
      <c r="P11" s="33"/>
      <c r="R11" s="34"/>
      <c r="S11" s="74"/>
      <c r="T11" s="74"/>
    </row>
    <row r="12" spans="1:21" ht="15" customHeight="1">
      <c r="B12" s="500"/>
      <c r="C12" s="502"/>
      <c r="D12" s="494"/>
      <c r="E12" s="494"/>
      <c r="F12" s="494"/>
      <c r="G12" s="506"/>
      <c r="H12" s="496" t="s">
        <v>46</v>
      </c>
      <c r="I12" s="496" t="s">
        <v>5</v>
      </c>
      <c r="J12" s="494" t="s">
        <v>47</v>
      </c>
      <c r="K12" s="49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0"/>
      <c r="C13" s="503"/>
      <c r="D13" s="494"/>
      <c r="E13" s="494"/>
      <c r="F13" s="494"/>
      <c r="G13" s="507"/>
      <c r="H13" s="497"/>
      <c r="I13" s="497"/>
      <c r="J13" s="494"/>
      <c r="K13" s="49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16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5241600</v>
      </c>
      <c r="I16" s="42">
        <f t="shared" ca="1" si="2"/>
        <v>0</v>
      </c>
      <c r="J16" s="42">
        <f t="shared" ca="1" si="3"/>
        <v>0</v>
      </c>
      <c r="K16" s="43">
        <f t="shared" ca="1" si="0"/>
        <v>5241600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4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16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624000</v>
      </c>
      <c r="I17" s="42">
        <f t="shared" ca="1" si="2"/>
        <v>0</v>
      </c>
      <c r="J17" s="42">
        <f t="shared" ca="1" si="3"/>
        <v>0</v>
      </c>
      <c r="K17" s="43">
        <f t="shared" ca="1" si="0"/>
        <v>624000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170</v>
      </c>
      <c r="G18" s="41">
        <f ca="1">IF(ISERROR(OFFSET('HARGA SATUAN'!$I$6,MATCH(C18,'HARGA SATUAN'!$C$7:$C$1495,0),0)),"",OFFSET('HARGA SATUAN'!$I$6,MATCH(C18,'HARGA SATUAN'!$C$7:$C$1495,0),0))</f>
        <v>54500</v>
      </c>
      <c r="H18" s="42">
        <f t="shared" ca="1" si="1"/>
        <v>9265000</v>
      </c>
      <c r="I18" s="42">
        <f t="shared" ca="1" si="2"/>
        <v>0</v>
      </c>
      <c r="J18" s="42">
        <f t="shared" ca="1" si="3"/>
        <v>0</v>
      </c>
      <c r="K18" s="43">
        <f t="shared" ca="1" si="0"/>
        <v>9265000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560</v>
      </c>
      <c r="G19" s="41">
        <f ca="1">IF(ISERROR(OFFSET('HARGA SATUAN'!$I$6,MATCH(C19,'HARGA SATUAN'!$C$7:$C$1495,0),0)),"",OFFSET('HARGA SATUAN'!$I$6,MATCH(C19,'HARGA SATUAN'!$C$7:$C$1495,0),0))</f>
        <v>4300</v>
      </c>
      <c r="H19" s="42">
        <f t="shared" ca="1" si="1"/>
        <v>2408000</v>
      </c>
      <c r="I19" s="42">
        <f t="shared" ca="1" si="2"/>
        <v>0</v>
      </c>
      <c r="J19" s="42">
        <f t="shared" ca="1" si="3"/>
        <v>0</v>
      </c>
      <c r="K19" s="43">
        <f t="shared" ca="1" si="0"/>
        <v>2408000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30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492" t="s">
        <v>1008</v>
      </c>
      <c r="D168" s="492"/>
      <c r="E168" s="492"/>
      <c r="F168" s="492"/>
      <c r="G168" s="77" t="s">
        <v>9</v>
      </c>
      <c r="H168" s="55">
        <f ca="1">SUM(H14:H167)</f>
        <v>17538600</v>
      </c>
      <c r="I168" s="55">
        <f ca="1">SUM(I14:I167)</f>
        <v>0</v>
      </c>
      <c r="J168" s="55">
        <f ca="1">SUM(J14:J167)</f>
        <v>0</v>
      </c>
      <c r="K168" s="55">
        <f ca="1">SUM(K14:K167)</f>
        <v>17538600</v>
      </c>
      <c r="L168" s="44"/>
      <c r="R168" s="99"/>
      <c r="S168" s="99"/>
      <c r="T168" s="99"/>
    </row>
    <row r="169" spans="1:20" s="36" customFormat="1">
      <c r="A169" s="30"/>
      <c r="B169" s="56"/>
      <c r="C169" s="493" t="s">
        <v>462</v>
      </c>
      <c r="D169" s="493"/>
      <c r="E169" s="493"/>
      <c r="F169" s="493"/>
      <c r="G169" s="59" t="s">
        <v>9</v>
      </c>
      <c r="H169" s="60">
        <f ca="1">H168*0.1</f>
        <v>1753860</v>
      </c>
      <c r="I169" s="60">
        <f ca="1">I168*0.1</f>
        <v>0</v>
      </c>
      <c r="J169" s="60">
        <f ca="1">J168*0.1</f>
        <v>0</v>
      </c>
      <c r="K169" s="60">
        <f ca="1">K168*0.1</f>
        <v>1753860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482" t="s">
        <v>463</v>
      </c>
      <c r="D170" s="482"/>
      <c r="E170" s="482"/>
      <c r="F170" s="482"/>
      <c r="G170" s="61" t="s">
        <v>9</v>
      </c>
      <c r="H170" s="78">
        <f ca="1">SUM(H168:H169)</f>
        <v>19292460</v>
      </c>
      <c r="I170" s="78">
        <f ca="1">SUM(I168:I169)</f>
        <v>0</v>
      </c>
      <c r="J170" s="61">
        <f ca="1">SUM(J168:J169)</f>
        <v>0</v>
      </c>
      <c r="K170" s="61">
        <f ca="1">SUM(K168:K169)</f>
        <v>19292460</v>
      </c>
      <c r="L170" s="44"/>
      <c r="R170" s="99"/>
      <c r="S170" s="99"/>
      <c r="T170" s="99"/>
    </row>
    <row r="171" spans="1:20" s="36" customFormat="1">
      <c r="A171" s="30"/>
      <c r="B171" s="485" t="e">
        <f ca="1">"Terbilang : ( "&amp;L172&amp;" Rupiah )"</f>
        <v>#NAME?</v>
      </c>
      <c r="C171" s="486"/>
      <c r="D171" s="486"/>
      <c r="E171" s="486"/>
      <c r="F171" s="486"/>
      <c r="G171" s="486"/>
      <c r="H171" s="486"/>
      <c r="I171" s="486"/>
      <c r="J171" s="486"/>
      <c r="K171" s="487"/>
      <c r="L171" s="44"/>
      <c r="R171" s="58"/>
      <c r="S171" s="58"/>
      <c r="T171" s="58"/>
    </row>
    <row r="172" spans="1:20" s="36" customFormat="1">
      <c r="A172" s="30"/>
      <c r="B172" s="488"/>
      <c r="C172" s="489"/>
      <c r="D172" s="489"/>
      <c r="E172" s="489"/>
      <c r="F172" s="489"/>
      <c r="G172" s="489"/>
      <c r="H172" s="489"/>
      <c r="I172" s="489"/>
      <c r="J172" s="489"/>
      <c r="K172" s="490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83"/>
      <c r="I175" s="483"/>
      <c r="J175" s="484"/>
      <c r="K175" s="48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83"/>
      <c r="I176" s="483"/>
      <c r="J176" s="484"/>
      <c r="K176" s="48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83"/>
      <c r="I177" s="483"/>
      <c r="J177" s="484"/>
      <c r="K177" s="48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83"/>
      <c r="I182" s="483"/>
      <c r="J182" s="484"/>
      <c r="K182" s="48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SUMIFS(RAB!$F$14:$F$84,RAB!$C$14:$C$84,C224)</f>
        <v>16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SUMIFS(RAB!$F$14:$F$84,RAB!$C$14:$C$84,C225)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SUMIFS(RAB!$F$14:$F$84,RAB!$C$14:$C$84,C226)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SUMIFS(RAB!$F$14:$F$84,RAB!$C$14:$C$84,C227)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SUMIFS(RAB!$F$14:$F$84,RAB!$C$14:$C$84,C228)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SUMIFS(RAB!$F$14:$F$84,RAB!$C$14:$C$84,C229)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SUMIFS(RAB!$F$14:$F$84,RAB!$C$14:$C$84,C230)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SUMIFS(RAB!$F$14:$F$84,RAB!$C$14:$C$84,C231)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SUMIFS(RAB!$F$14:$F$84,RAB!$C$14:$C$84,C232)</f>
        <v>16</v>
      </c>
      <c r="E232" s="24">
        <f t="shared" ca="1" si="21"/>
        <v>1</v>
      </c>
      <c r="F232" s="24">
        <f ca="1">IF(D232=0,0,SUM($E$223:E232))</f>
        <v>2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SUMIFS(RAB!$F$14:$F$84,RAB!$C$14:$C$84,C233)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SUMIFS(RAB!$F$14:$F$84,RAB!$C$14:$C$84,C234)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SUMIFS(RAB!$F$14:$F$84,RAB!$C$14:$C$84,C235)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SUMIFS(RAB!$F$14:$F$84,RAB!$C$14:$C$84,C236)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SUMIFS(RAB!$F$14:$F$84,RAB!$C$14:$C$84,C237)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SUMIFS(RAB!$F$14:$F$84,RAB!$C$14:$C$84,C238)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SUMIFS(RAB!$F$14:$F$84,RAB!$C$14:$C$84,C239)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SUMIFS(RAB!$F$14:$F$84,RAB!$C$14:$C$84,C240)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SUMIFS(RAB!$F$14:$F$84,RAB!$C$14:$C$84,C241)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SUMIFS(RAB!$F$14:$F$84,RAB!$C$14:$C$84,C242)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SUMIFS(RAB!$F$14:$F$84,RAB!$C$14:$C$84,C243)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SUMIFS(RAB!$F$14:$F$84,RAB!$C$14:$C$84,C244)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SUMIFS(RAB!$F$14:$F$84,RAB!$C$14:$C$84,C245)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SUMIFS(RAB!$F$14:$F$84,RAB!$C$14:$C$84,C246)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SUMIFS(RAB!$F$14:$F$84,RAB!$C$14:$C$84,C247)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SUMIFS(RAB!$F$14:$F$84,RAB!$C$14:$C$84,C248)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SUMIFS(RAB!$F$14:$F$84,RAB!$C$14:$C$84,C249)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SUMIFS(RAB!$F$14:$F$84,RAB!$C$14:$C$84,C250)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SUMIFS(RAB!$F$14:$F$84,RAB!$C$14:$C$84,C251)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SUMIFS(RAB!$F$14:$F$84,RAB!$C$14:$C$84,C252)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SUMIFS(RAB!$F$14:$F$84,RAB!$C$14:$C$84,C253)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SUMIFS(RAB!$F$14:$F$84,RAB!$C$14:$C$84,C254)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SUMIFS(RAB!$F$14:$F$84,RAB!$C$14:$C$84,C255)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SUMIFS(RAB!$F$14:$F$84,RAB!$C$14:$C$84,C256)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SUMIFS(RAB!$F$14:$F$84,RAB!$C$14:$C$84,C257)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SUMIFS(RAB!$F$14:$F$84,RAB!$C$14:$C$84,C258)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SUMIFS(RAB!$F$14:$F$84,RAB!$C$14:$C$84,C259)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SUMIFS(RAB!$F$14:$F$84,RAB!$C$14:$C$84,C260)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SUMIFS(RAB!$F$14:$F$84,RAB!$C$14:$C$84,C261)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SUMIFS(RAB!$F$14:$F$84,RAB!$C$14:$C$84,C262)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SUMIFS(RAB!$F$14:$F$84,RAB!$C$14:$C$84,C263)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SUMIFS(RAB!$F$14:$F$84,RAB!$C$14:$C$84,C264)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SUMIFS(RAB!$F$14:$F$84,RAB!$C$14:$C$84,C265)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SUMIFS(RAB!$F$14:$F$84,RAB!$C$14:$C$84,C266)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SUMIFS(RAB!$F$14:$F$84,RAB!$C$14:$C$84,C267)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SUMIFS(RAB!$F$14:$F$84,RAB!$C$14:$C$84,C268)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SUMIFS(RAB!$F$14:$F$84,RAB!$C$14:$C$84,C269)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SUMIFS(RAB!$F$14:$F$84,RAB!$C$14:$C$84,C270)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SUMIFS(RAB!$F$14:$F$84,RAB!$C$14:$C$84,C271)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SUMIFS(RAB!$F$14:$F$84,RAB!$C$14:$C$84,C272)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SUMIFS(RAB!$F$14:$F$84,RAB!$C$14:$C$84,C273)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SUMIFS(RAB!$F$14:$F$84,RAB!$C$14:$C$84,C274)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SUMIFS(RAB!$F$14:$F$84,RAB!$C$14:$C$84,C275)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SUMIFS(RAB!$F$14:$F$84,RAB!$C$14:$C$84,C276)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SUMIFS(RAB!$F$14:$F$84,RAB!$C$14:$C$84,C277)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SUMIFS(RAB!$F$14:$F$84,RAB!$C$14:$C$84,C278)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SUMIFS(RAB!$F$14:$F$84,RAB!$C$14:$C$84,C279)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SUMIFS(RAB!$F$14:$F$84,RAB!$C$14:$C$84,C280)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SUMIFS(RAB!$F$14:$F$84,RAB!$C$14:$C$84,C281)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SUMIFS(RAB!$F$14:$F$84,RAB!$C$14:$C$84,C282)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SUMIFS(RAB!$F$14:$F$84,RAB!$C$14:$C$84,C283)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SUMIFS(RAB!$F$14:$F$84,RAB!$C$14:$C$84,C284)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SUMIFS(RAB!$F$14:$F$84,RAB!$C$14:$C$84,C285)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SUMIFS(RAB!$F$14:$F$84,RAB!$C$14:$C$84,C286)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SUMIFS(RAB!$F$14:$F$84,RAB!$C$14:$C$84,C287)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SUMIFS(RAB!$F$14:$F$84,RAB!$C$14:$C$84,C288)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SUMIFS(RAB!$F$14:$F$84,RAB!$C$14:$C$84,C289)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SUMIFS(RAB!$F$14:$F$84,RAB!$C$14:$C$84,C290)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SUMIFS(RAB!$F$14:$F$84,RAB!$C$14:$C$84,C291)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SUMIFS(RAB!$F$14:$F$84,RAB!$C$14:$C$84,C292)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SUMIFS(RAB!$F$14:$F$84,RAB!$C$14:$C$84,C293)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SUMIFS(RAB!$F$14:$F$84,RAB!$C$14:$C$84,C294)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SUMIFS(RAB!$F$14:$F$84,RAB!$C$14:$C$84,C295)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SUMIFS(RAB!$F$14:$F$84,RAB!$C$14:$C$84,C296)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SUMIFS(RAB!$F$14:$F$84,RAB!$C$14:$C$84,C297)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SUMIFS(RAB!$F$14:$F$84,RAB!$C$14:$C$84,C298)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SUMIFS(RAB!$F$14:$F$84,RAB!$C$14:$C$84,C299)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SUMIFS(RAB!$F$14:$F$84,RAB!$C$14:$C$84,C300)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SUMIFS(RAB!$F$14:$F$84,RAB!$C$14:$C$84,C301)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SUMIFS(RAB!$F$14:$F$84,RAB!$C$14:$C$84,C302)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SUMIFS(RAB!$F$14:$F$84,RAB!$C$14:$C$84,C303)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SUMIFS(RAB!$F$14:$F$84,RAB!$C$14:$C$84,C304)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SUMIFS(RAB!$F$14:$F$84,RAB!$C$14:$C$84,C305)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SUMIFS(RAB!$F$14:$F$84,RAB!$C$14:$C$84,C306)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SUMIFS(RAB!$F$14:$F$84,RAB!$C$14:$C$84,C307)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SUMIFS(RAB!$F$14:$F$84,RAB!$C$14:$C$84,C308)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SUMIFS(RAB!$F$14:$F$84,RAB!$C$14:$C$84,C309)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SUMIFS(RAB!$F$14:$F$84,RAB!$C$14:$C$84,C310)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SUMIFS(RAB!$F$14:$F$84,RAB!$C$14:$C$84,C311)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SUMIFS(RAB!$F$14:$F$84,RAB!$C$14:$C$84,C312)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SUMIFS(RAB!$F$14:$F$84,RAB!$C$14:$C$84,C313)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SUMIFS(RAB!$F$14:$F$84,RAB!$C$14:$C$84,C314)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SUMIFS(RAB!$F$14:$F$84,RAB!$C$14:$C$84,C315)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SUMIFS(RAB!$F$14:$F$84,RAB!$C$14:$C$84,C316)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SUMIFS(RAB!$F$14:$F$84,RAB!$C$14:$C$84,C317)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SUMIFS(RAB!$F$14:$F$84,RAB!$C$14:$C$84,C318)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SUMIFS(RAB!$F$14:$F$84,RAB!$C$14:$C$84,C319)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SUMIFS(RAB!$F$14:$F$84,RAB!$C$14:$C$84,C320)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SUMIFS(RAB!$F$14:$F$84,RAB!$C$14:$C$84,C321)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SUMIFS(RAB!$F$14:$F$84,RAB!$C$14:$C$84,C322)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SUMIFS(RAB!$F$14:$F$84,RAB!$C$14:$C$84,C323)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SUMIFS(RAB!$F$14:$F$84,RAB!$C$14:$C$84,C324)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SUMIFS(RAB!$F$14:$F$84,RAB!$C$14:$C$84,C325)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SUMIFS(RAB!$F$14:$F$84,RAB!$C$14:$C$84,C326)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SUMIFS(RAB!$F$14:$F$84,RAB!$C$14:$C$84,C327)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SUMIFS(RAB!$F$14:$F$84,RAB!$C$14:$C$84,C328)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SUMIFS(RAB!$F$14:$F$84,RAB!$C$14:$C$84,C329)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SUMIFS(RAB!$F$14:$F$84,RAB!$C$14:$C$84,C330)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SUMIFS(RAB!$F$14:$F$84,RAB!$C$14:$C$84,C331)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SUMIFS(RAB!$F$14:$F$84,RAB!$C$14:$C$84,C332)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SUMIFS(RAB!$F$14:$F$84,RAB!$C$14:$C$84,C333)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SUMIFS(RAB!$F$14:$F$84,RAB!$C$14:$C$84,C334)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SUMIFS(RAB!$F$14:$F$84,RAB!$C$14:$C$84,C335)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SUMIFS(RAB!$F$14:$F$84,RAB!$C$14:$C$84,C336)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SUMIFS(RAB!$F$14:$F$84,RAB!$C$14:$C$84,C337)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SUMIFS(RAB!$F$14:$F$84,RAB!$C$14:$C$84,C338)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SUMIFS(RAB!$F$14:$F$84,RAB!$C$14:$C$84,C339)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SUMIFS(RAB!$F$14:$F$84,RAB!$C$14:$C$84,C340)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SUMIFS(RAB!$F$14:$F$84,RAB!$C$14:$C$84,C341)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SUMIFS(RAB!$F$14:$F$84,RAB!$C$14:$C$84,C342)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SUMIFS(RAB!$F$14:$F$84,RAB!$C$14:$C$84,C343)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SUMIFS(RAB!$F$14:$F$84,RAB!$C$14:$C$84,C344)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SUMIFS(RAB!$F$14:$F$84,RAB!$C$14:$C$84,C345)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SUMIFS(RAB!$F$14:$F$84,RAB!$C$14:$C$84,C346)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SUMIFS(RAB!$F$14:$F$84,RAB!$C$14:$C$84,C347)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SUMIFS(RAB!$F$14:$F$84,RAB!$C$14:$C$84,C348)</f>
        <v>170</v>
      </c>
      <c r="E348" s="24">
        <f t="shared" ca="1" si="22"/>
        <v>1</v>
      </c>
      <c r="F348" s="24">
        <f ca="1">IF(D348=0,0,SUM($E$223:E348))</f>
        <v>3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SUMIFS(RAB!$F$14:$F$84,RAB!$C$14:$C$84,C349)</f>
        <v>560</v>
      </c>
      <c r="E349" s="24">
        <f t="shared" ca="1" si="22"/>
        <v>1</v>
      </c>
      <c r="F349" s="24">
        <f ca="1">IF(D349=0,0,SUM($E$223:E349))</f>
        <v>4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SUMIFS(RAB!$F$14:$F$84,RAB!$C$14:$C$84,C350)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SUMIFS(RAB!$F$14:$F$84,RAB!$C$14:$C$84,C351)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SUMIFS(RAB!$F$14:$F$84,RAB!$C$14:$C$84,C352)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SUMIFS(RAB!$F$14:$F$84,RAB!$C$14:$C$84,C353)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SUMIFS(RAB!$F$14:$F$84,RAB!$C$14:$C$84,C354)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SUMIFS(RAB!$F$14:$F$84,RAB!$C$14:$C$84,C355)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SUMIFS(RAB!$F$14:$F$84,RAB!$C$14:$C$84,C356)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SUMIFS(RAB!$F$14:$F$84,RAB!$C$14:$C$84,C357)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SUMIFS(RAB!$F$14:$F$84,RAB!$C$14:$C$84,C358)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SUMIFS(RAB!$F$14:$F$84,RAB!$C$14:$C$84,C359)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SUMIFS(RAB!$F$14:$F$84,RAB!$C$14:$C$84,C360)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SUMIFS(RAB!$F$14:$F$84,RAB!$C$14:$C$84,C361)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SUMIFS(RAB!$F$14:$F$84,RAB!$C$14:$C$84,C362)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SUMIFS(RAB!$F$14:$F$84,RAB!$C$14:$C$84,C363)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SUMIFS(RAB!$F$14:$F$84,RAB!$C$14:$C$84,C364)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SUMIFS(RAB!$F$14:$F$84,RAB!$C$14:$C$84,C365)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SUMIFS(RAB!$F$14:$F$84,RAB!$C$14:$C$84,C366)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SUMIFS(RAB!$F$14:$F$84,RAB!$C$14:$C$84,C367)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SUMIFS(RAB!$F$14:$F$84,RAB!$C$14:$C$84,C368)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SUMIFS(RAB!$F$14:$F$84,RAB!$C$14:$C$84,C369)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SUMIFS(RAB!$F$14:$F$84,RAB!$C$14:$C$84,C370)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SUMIFS(RAB!$F$14:$F$84,RAB!$C$14:$C$84,C371)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SUMIFS(RAB!$F$14:$F$84,RAB!$C$14:$C$84,C372)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SUMIFS(RAB!$F$14:$F$84,RAB!$C$14:$C$84,C373)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5" activePane="bottomRight" state="frozen"/>
      <selection activeCell="D209" sqref="D209"/>
      <selection pane="topRight" activeCell="D209" sqref="D209"/>
      <selection pane="bottomLeft" activeCell="D209" sqref="D209"/>
      <selection pane="bottomRight" activeCell="C926" sqref="C92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10" t="s">
        <v>41</v>
      </c>
      <c r="C2" s="51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11" t="s">
        <v>23</v>
      </c>
      <c r="C4" s="512" t="s">
        <v>1012</v>
      </c>
      <c r="D4" s="512" t="s">
        <v>42</v>
      </c>
      <c r="E4" s="511" t="s">
        <v>43</v>
      </c>
      <c r="F4" s="108" t="s">
        <v>1599</v>
      </c>
      <c r="G4" s="108" t="s">
        <v>1598</v>
      </c>
      <c r="H4" s="50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11"/>
      <c r="C5" s="512"/>
      <c r="D5" s="512"/>
      <c r="E5" s="511"/>
      <c r="F5" s="93"/>
      <c r="G5" s="93"/>
      <c r="H5" s="50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1608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1607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0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1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1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5" priority="4" operator="equal">
      <formula>0</formula>
    </cfRule>
  </conditionalFormatting>
  <conditionalFormatting sqref="B217 D217:G217">
    <cfRule type="cellIs" dxfId="34" priority="11" operator="equal">
      <formula>0</formula>
    </cfRule>
  </conditionalFormatting>
  <conditionalFormatting sqref="B8:C135">
    <cfRule type="cellIs" dxfId="33" priority="66" operator="equal">
      <formula>0</formula>
    </cfRule>
  </conditionalFormatting>
  <conditionalFormatting sqref="B216:G216">
    <cfRule type="cellIs" dxfId="32" priority="16" operator="equal">
      <formula>0</formula>
    </cfRule>
  </conditionalFormatting>
  <conditionalFormatting sqref="B218:G1496">
    <cfRule type="cellIs" dxfId="31" priority="1" operator="equal">
      <formula>0</formula>
    </cfRule>
  </conditionalFormatting>
  <conditionalFormatting sqref="C143:G149">
    <cfRule type="cellIs" dxfId="30" priority="20" operator="equal">
      <formula>0</formula>
    </cfRule>
  </conditionalFormatting>
  <conditionalFormatting sqref="D9:G142">
    <cfRule type="cellIs" dxfId="29" priority="26" operator="equal">
      <formula>0</formula>
    </cfRule>
  </conditionalFormatting>
  <conditionalFormatting sqref="D1:IV5 A1:C7 D6:K6 H1458:IV1460 H1461:XFD1488 H1489:H1496 I1489:XFD1497 A1497:H1497 A1498:XFD65539">
    <cfRule type="cellIs" dxfId="28" priority="178" operator="equal">
      <formula>0</formula>
    </cfRule>
  </conditionalFormatting>
  <conditionalFormatting sqref="D7:IV8 C136:C142 B136:B149 B150:G213 B214:B215 D214:G215">
    <cfRule type="cellIs" dxfId="27" priority="77" operator="equal">
      <formula>0</formula>
    </cfRule>
  </conditionalFormatting>
  <conditionalFormatting sqref="H9:H1421">
    <cfRule type="cellIs" dxfId="26" priority="3" operator="equal">
      <formula>0</formula>
    </cfRule>
  </conditionalFormatting>
  <conditionalFormatting sqref="H1422:I1457">
    <cfRule type="cellIs" dxfId="25" priority="143" operator="equal">
      <formula>0</formula>
    </cfRule>
  </conditionalFormatting>
  <conditionalFormatting sqref="I108:I1421">
    <cfRule type="cellIs" dxfId="24" priority="2" operator="equal">
      <formula>0</formula>
    </cfRule>
  </conditionalFormatting>
  <conditionalFormatting sqref="I9:IV107">
    <cfRule type="cellIs" dxfId="23" priority="153" operator="equal">
      <formula>0</formula>
    </cfRule>
  </conditionalFormatting>
  <conditionalFormatting sqref="J108:IV1457">
    <cfRule type="cellIs" dxfId="22" priority="5" operator="equal">
      <formula>0</formula>
    </cfRule>
  </conditionalFormatting>
  <conditionalFormatting sqref="M6:IV6">
    <cfRule type="cellIs" dxfId="21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17" t="s">
        <v>1453</v>
      </c>
      <c r="C2" s="517"/>
      <c r="D2" s="517"/>
      <c r="E2" s="51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22" t="s">
        <v>1528</v>
      </c>
      <c r="C4" s="523"/>
      <c r="D4" s="523"/>
      <c r="E4" s="524"/>
      <c r="F4" s="373"/>
      <c r="G4" s="373"/>
      <c r="H4" s="374"/>
      <c r="I4" s="549" t="s">
        <v>1529</v>
      </c>
      <c r="J4" s="550"/>
      <c r="K4" s="550"/>
      <c r="L4" s="551"/>
    </row>
    <row r="5" spans="1:12" ht="34.5" customHeight="1">
      <c r="A5" s="193"/>
      <c r="B5" s="376" t="s">
        <v>1378</v>
      </c>
      <c r="C5" s="224" t="s">
        <v>9</v>
      </c>
      <c r="D5" s="518" t="str">
        <f>DATA!D14</f>
        <v>PB Daya 16X900 VA WALUYO KOS GODONG</v>
      </c>
      <c r="E5" s="519"/>
      <c r="F5" s="197"/>
      <c r="G5" s="197"/>
      <c r="I5" s="377" t="s">
        <v>1378</v>
      </c>
      <c r="J5" s="224" t="s">
        <v>9</v>
      </c>
      <c r="K5" s="552" t="str">
        <f>D5</f>
        <v>PB Daya 16X900 VA WALUYO KOS GODONG</v>
      </c>
      <c r="L5" s="553"/>
    </row>
    <row r="6" spans="1:12" ht="31.5" customHeight="1">
      <c r="A6" s="193"/>
      <c r="B6" s="376" t="s">
        <v>1525</v>
      </c>
      <c r="C6" s="224" t="s">
        <v>9</v>
      </c>
      <c r="D6" s="527">
        <f>DATA!D17*1000</f>
        <v>0</v>
      </c>
      <c r="E6" s="528"/>
      <c r="F6" s="197"/>
      <c r="G6" s="197"/>
      <c r="I6" s="377" t="s">
        <v>1526</v>
      </c>
      <c r="J6" s="224" t="s">
        <v>9</v>
      </c>
      <c r="K6" s="554">
        <f>DATA!D20*1000</f>
        <v>14400</v>
      </c>
      <c r="L6" s="555"/>
    </row>
    <row r="7" spans="1:12" ht="30.75" customHeight="1">
      <c r="A7" s="193"/>
      <c r="B7" s="376" t="s">
        <v>1440</v>
      </c>
      <c r="C7" s="224" t="s">
        <v>9</v>
      </c>
      <c r="D7" s="525">
        <f>DATA!D18</f>
        <v>1</v>
      </c>
      <c r="E7" s="526"/>
      <c r="F7" s="375" t="s">
        <v>1452</v>
      </c>
      <c r="I7" s="377" t="s">
        <v>1440</v>
      </c>
      <c r="J7" s="224" t="s">
        <v>9</v>
      </c>
      <c r="K7" s="556">
        <f>DATA!D21</f>
        <v>3</v>
      </c>
      <c r="L7" s="557"/>
    </row>
    <row r="8" spans="1:12" ht="51" customHeight="1">
      <c r="A8" s="193"/>
      <c r="B8" s="376" t="s">
        <v>1441</v>
      </c>
      <c r="C8" s="224" t="s">
        <v>9</v>
      </c>
      <c r="D8" s="525">
        <f>DATA!D19</f>
        <v>220</v>
      </c>
      <c r="E8" s="526"/>
      <c r="F8" s="375" t="s">
        <v>1452</v>
      </c>
      <c r="G8" s="370">
        <v>220</v>
      </c>
      <c r="I8" s="377" t="s">
        <v>1441</v>
      </c>
      <c r="J8" s="224" t="s">
        <v>9</v>
      </c>
      <c r="K8" s="556">
        <f>DATA!D22</f>
        <v>380</v>
      </c>
      <c r="L8" s="557"/>
    </row>
    <row r="9" spans="1:12" ht="30" customHeight="1" thickBot="1">
      <c r="A9" s="193"/>
      <c r="B9" s="382" t="s">
        <v>1537</v>
      </c>
      <c r="C9" s="372" t="s">
        <v>9</v>
      </c>
      <c r="D9" s="520">
        <f>IF(D7=1,D6/(380/3^0.5),(D6/(380*3^0.5)))</f>
        <v>0</v>
      </c>
      <c r="E9" s="521"/>
      <c r="F9" s="196"/>
      <c r="G9" s="371">
        <v>380</v>
      </c>
      <c r="I9" s="383" t="s">
        <v>1537</v>
      </c>
      <c r="J9" s="372" t="s">
        <v>9</v>
      </c>
      <c r="K9" s="558">
        <f>IF(K7=1,K6/(380/3^0.5),(K6/(380*3^0.5)))</f>
        <v>21.878536516659505</v>
      </c>
      <c r="L9" s="559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29"/>
      <c r="E12" s="530"/>
      <c r="F12" s="197"/>
      <c r="G12" s="197"/>
      <c r="I12" s="399" t="s">
        <v>1530</v>
      </c>
      <c r="J12" s="400" t="s">
        <v>9</v>
      </c>
      <c r="K12" s="529" t="s">
        <v>1638</v>
      </c>
      <c r="L12" s="530"/>
    </row>
    <row r="13" spans="1:12" ht="31.5" customHeight="1">
      <c r="A13" s="193"/>
      <c r="B13" s="407" t="s">
        <v>1379</v>
      </c>
      <c r="C13" s="387" t="s">
        <v>9</v>
      </c>
      <c r="D13" s="533"/>
      <c r="E13" s="534"/>
      <c r="F13" s="197"/>
      <c r="G13" s="197"/>
      <c r="I13" s="401" t="s">
        <v>1379</v>
      </c>
      <c r="J13" s="387" t="s">
        <v>9</v>
      </c>
      <c r="K13" s="533" t="s">
        <v>1639</v>
      </c>
      <c r="L13" s="534"/>
    </row>
    <row r="14" spans="1:12" ht="30.75" customHeight="1">
      <c r="A14" s="193"/>
      <c r="B14" s="407" t="s">
        <v>1531</v>
      </c>
      <c r="C14" s="387" t="s">
        <v>9</v>
      </c>
      <c r="D14" s="541"/>
      <c r="E14" s="542"/>
      <c r="F14" s="375" t="s">
        <v>1452</v>
      </c>
      <c r="G14" s="379">
        <v>50</v>
      </c>
      <c r="I14" s="401" t="s">
        <v>1531</v>
      </c>
      <c r="J14" s="387" t="s">
        <v>9</v>
      </c>
      <c r="K14" s="543">
        <v>100</v>
      </c>
      <c r="L14" s="544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45">
        <v>0</v>
      </c>
      <c r="E16" s="546"/>
      <c r="F16" s="375"/>
      <c r="G16" s="379">
        <v>160</v>
      </c>
      <c r="I16" s="401" t="s">
        <v>1533</v>
      </c>
      <c r="J16" s="387" t="s">
        <v>9</v>
      </c>
      <c r="K16" s="547">
        <f>K9</f>
        <v>21.878536516659505</v>
      </c>
      <c r="L16" s="548"/>
    </row>
    <row r="17" spans="1:12" ht="34.5" customHeight="1">
      <c r="A17" s="193"/>
      <c r="B17" s="407" t="s">
        <v>1534</v>
      </c>
      <c r="C17" s="387" t="s">
        <v>9</v>
      </c>
      <c r="D17" s="535">
        <f>IF(D15=1,D14/(20/3^0.5),(D14/(20*3^0.5)))</f>
        <v>0</v>
      </c>
      <c r="E17" s="536"/>
      <c r="F17" s="375" t="s">
        <v>1452</v>
      </c>
      <c r="G17" s="380">
        <v>200</v>
      </c>
      <c r="I17" s="401" t="s">
        <v>1534</v>
      </c>
      <c r="J17" s="387" t="s">
        <v>9</v>
      </c>
      <c r="K17" s="539">
        <f>IF(K15=1,K14/(20/3^0.5),(K14/(20*3^0.5)))</f>
        <v>8.6602540378443855</v>
      </c>
      <c r="L17" s="540"/>
    </row>
    <row r="18" spans="1:12" ht="34.5" customHeight="1">
      <c r="A18" s="193"/>
      <c r="B18" s="407" t="s">
        <v>1535</v>
      </c>
      <c r="C18" s="387" t="s">
        <v>9</v>
      </c>
      <c r="D18" s="535">
        <f>IF(D15=1,D14/(380/3^0.5),(D14/(380*3^0.5)))*1000</f>
        <v>0</v>
      </c>
      <c r="E18" s="536"/>
      <c r="F18" s="375" t="s">
        <v>1452</v>
      </c>
      <c r="G18" s="380">
        <v>250</v>
      </c>
      <c r="I18" s="401" t="s">
        <v>1535</v>
      </c>
      <c r="J18" s="387" t="s">
        <v>9</v>
      </c>
      <c r="K18" s="539">
        <f>IF(K15=1,K14/(380/3^0.5),(K14/(380*3^0.5)))*1000</f>
        <v>455.80284409707292</v>
      </c>
      <c r="L18" s="540"/>
    </row>
    <row r="19" spans="1:12" ht="30" customHeight="1">
      <c r="A19" s="193"/>
      <c r="B19" s="408" t="s">
        <v>1527</v>
      </c>
      <c r="C19" s="386" t="s">
        <v>9</v>
      </c>
      <c r="D19" s="535">
        <f>IF(D15=1,D14/(380/3^0.5),(D14/(380*3^0.5)))</f>
        <v>0</v>
      </c>
      <c r="E19" s="536"/>
      <c r="F19" s="196"/>
      <c r="G19" s="371"/>
      <c r="I19" s="403" t="s">
        <v>1527</v>
      </c>
      <c r="J19" s="386" t="s">
        <v>9</v>
      </c>
      <c r="K19" s="539">
        <f>IF(K15=1,K14/(380/3^0.5),(K14/(380*3^0.5)))</f>
        <v>0.45580284409707295</v>
      </c>
      <c r="L19" s="540"/>
    </row>
    <row r="20" spans="1:12" ht="30" customHeight="1" thickBot="1">
      <c r="A20" s="193"/>
      <c r="B20" s="409" t="s">
        <v>1536</v>
      </c>
      <c r="C20" s="405" t="s">
        <v>9</v>
      </c>
      <c r="D20" s="531" t="e">
        <f>D16/D18</f>
        <v>#DIV/0!</v>
      </c>
      <c r="E20" s="532"/>
      <c r="F20" s="196"/>
      <c r="G20" s="371"/>
      <c r="I20" s="404" t="s">
        <v>1527</v>
      </c>
      <c r="J20" s="405" t="s">
        <v>9</v>
      </c>
      <c r="K20" s="537">
        <f>K16/K18</f>
        <v>4.8000000000000008E-2</v>
      </c>
      <c r="L20" s="538"/>
    </row>
    <row r="21" spans="1:12" ht="9.75" customHeight="1">
      <c r="A21" s="193"/>
      <c r="B21" s="394" t="s">
        <v>1536</v>
      </c>
      <c r="C21" s="395" t="s">
        <v>9</v>
      </c>
      <c r="D21" s="516">
        <v>1</v>
      </c>
      <c r="E21" s="516"/>
      <c r="F21" s="396"/>
      <c r="G21" s="397"/>
      <c r="H21" s="398"/>
      <c r="I21" s="394" t="s">
        <v>1527</v>
      </c>
      <c r="J21" s="395" t="s">
        <v>9</v>
      </c>
      <c r="K21" s="516">
        <v>1</v>
      </c>
      <c r="L21" s="516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13"/>
      <c r="C24" s="514"/>
      <c r="D24" s="514"/>
      <c r="E24" s="515"/>
      <c r="I24" s="513"/>
      <c r="J24" s="514"/>
      <c r="K24" s="514"/>
      <c r="L24" s="515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16" sqref="D1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60"/>
      <c r="C1" s="560"/>
      <c r="D1" s="56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14.4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13953600</v>
      </c>
    </row>
    <row r="10" spans="2:11" ht="20.100000000000001" customHeight="1">
      <c r="B10" s="238" t="s">
        <v>1445</v>
      </c>
      <c r="C10" s="239" t="s">
        <v>9</v>
      </c>
      <c r="D10" s="245">
        <f ca="1">RAB!K90</f>
        <v>32190626.224999998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643812.52449999994</v>
      </c>
    </row>
    <row r="12" spans="2:11" ht="9" customHeight="1">
      <c r="B12" s="561"/>
      <c r="C12" s="561"/>
      <c r="D12" s="561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Daya 16X900 VA WALUYO KOS GODONG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1637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14.4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562" t="s">
        <v>1356</v>
      </c>
      <c r="C3" s="562"/>
      <c r="D3" s="562"/>
      <c r="E3" s="562"/>
      <c r="F3" s="252" t="str">
        <f>DATA!D14</f>
        <v>PB Daya 16X900 VA WALUYO KOS GODONG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63" t="s">
        <v>1348</v>
      </c>
      <c r="C5" s="563" t="s">
        <v>1357</v>
      </c>
      <c r="D5" s="564" t="s">
        <v>1358</v>
      </c>
      <c r="E5" s="564" t="s">
        <v>1359</v>
      </c>
      <c r="F5" s="563" t="s">
        <v>1360</v>
      </c>
      <c r="G5" s="563"/>
      <c r="H5" s="563"/>
      <c r="I5" s="563"/>
      <c r="J5" s="563"/>
      <c r="K5" s="563" t="s">
        <v>1361</v>
      </c>
      <c r="L5" s="563"/>
      <c r="M5" s="254"/>
      <c r="N5" s="567" t="s">
        <v>1362</v>
      </c>
      <c r="O5" s="564" t="s">
        <v>1363</v>
      </c>
      <c r="P5" s="564" t="s">
        <v>1364</v>
      </c>
      <c r="Q5" s="564" t="s">
        <v>1365</v>
      </c>
      <c r="R5" s="255"/>
      <c r="S5" s="256"/>
      <c r="T5" s="565" t="s">
        <v>1366</v>
      </c>
      <c r="U5" s="257"/>
    </row>
    <row r="6" spans="1:21" ht="20.100000000000001" customHeight="1">
      <c r="B6" s="563"/>
      <c r="C6" s="563"/>
      <c r="D6" s="563"/>
      <c r="E6" s="56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68"/>
      <c r="O6" s="563"/>
      <c r="P6" s="563"/>
      <c r="Q6" s="563"/>
      <c r="R6" s="255"/>
      <c r="S6" s="256"/>
      <c r="T6" s="563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2304</v>
      </c>
      <c r="D7" s="263">
        <f>C7*4/24</f>
        <v>384</v>
      </c>
      <c r="E7" s="263">
        <f>C7-D7</f>
        <v>1920</v>
      </c>
      <c r="F7" s="264">
        <f ca="1">DATA!D10/1000000</f>
        <v>32.190626224999995</v>
      </c>
      <c r="G7" s="265">
        <f ca="1">DATA!$D$11/1000000</f>
        <v>0.64381252449999993</v>
      </c>
      <c r="H7" s="265">
        <f>C7*DATA!$D$5/1000000</f>
        <v>2.4978241057226893</v>
      </c>
      <c r="I7" s="265">
        <f>(C7*DATA!$D$5*DATA!$D$7)/1000000</f>
        <v>5.6201042378760509E-2</v>
      </c>
      <c r="J7" s="263">
        <f ca="1">SUM(F7:I7)</f>
        <v>35.388463897601447</v>
      </c>
      <c r="K7" s="266">
        <f>DATA!D9/1000000</f>
        <v>13.9536</v>
      </c>
      <c r="L7" s="263">
        <f>((D7*DATA!$D$23)/1000000)+((E7*DATA!$D$24)/1000000)</f>
        <v>3.3285887999999999</v>
      </c>
      <c r="M7" s="263">
        <f>K7+L7</f>
        <v>17.2821888</v>
      </c>
      <c r="N7" s="263">
        <f ca="1">M7-J7</f>
        <v>-18.106275097601447</v>
      </c>
      <c r="O7" s="261">
        <v>1</v>
      </c>
      <c r="P7" s="263">
        <f ca="1">O7*N7</f>
        <v>-18.106275097601447</v>
      </c>
      <c r="Q7" s="263">
        <f ca="1">P7</f>
        <v>-18.106275097601447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6912</v>
      </c>
      <c r="D8" s="263">
        <f>C8*4/24</f>
        <v>1152</v>
      </c>
      <c r="E8" s="263">
        <f t="shared" ref="E8:E32" si="0">C8-D8</f>
        <v>5760</v>
      </c>
      <c r="F8" s="261"/>
      <c r="G8" s="265">
        <f ca="1">DATA!$D$11/1000000</f>
        <v>0.64381252449999993</v>
      </c>
      <c r="H8" s="265">
        <f>C8*DATA!$D$5/1000000</f>
        <v>7.4934723171680693</v>
      </c>
      <c r="I8" s="265">
        <f>(C8*DATA!$D$5*DATA!$D$7)/1000000</f>
        <v>0.16860312713628153</v>
      </c>
      <c r="J8" s="263">
        <f t="shared" ref="J8:J32" ca="1" si="1">SUM(F8:I8)</f>
        <v>8.3058879688043508</v>
      </c>
      <c r="K8" s="268"/>
      <c r="L8" s="263">
        <f>((D8*DATA!$D$23)/1000000)+((E8*DATA!$D$24)/1000000)</f>
        <v>9.9857663999999993</v>
      </c>
      <c r="M8" s="263">
        <f t="shared" ref="M8:M32" si="2">K8+L8</f>
        <v>9.9857663999999993</v>
      </c>
      <c r="N8" s="263">
        <f ca="1">M8-J8</f>
        <v>1.6798784311956485</v>
      </c>
      <c r="O8" s="262">
        <f>1/(1+'[91]Asumsi I'!$C$3)^(KKF!A8)</f>
        <v>0.89285714285714279</v>
      </c>
      <c r="P8" s="263">
        <f ca="1">O8*N8</f>
        <v>1.4998914564246861</v>
      </c>
      <c r="Q8" s="263">
        <f ca="1">Q7+P8</f>
        <v>-16.606383641176762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6912</v>
      </c>
      <c r="D9" s="263">
        <f t="shared" ref="D9:D32" si="5">C9*4/24</f>
        <v>1152</v>
      </c>
      <c r="E9" s="263">
        <f t="shared" si="0"/>
        <v>5760</v>
      </c>
      <c r="F9" s="261"/>
      <c r="G9" s="265">
        <f ca="1">DATA!$D$11/1000000</f>
        <v>0.64381252449999993</v>
      </c>
      <c r="H9" s="265">
        <f>C9*DATA!$D$5/1000000</f>
        <v>7.4934723171680693</v>
      </c>
      <c r="I9" s="265">
        <f>(C9*DATA!$D$5*DATA!$D$7)/1000000</f>
        <v>0.16860312713628153</v>
      </c>
      <c r="J9" s="263">
        <f t="shared" ca="1" si="1"/>
        <v>8.3058879688043508</v>
      </c>
      <c r="K9" s="263"/>
      <c r="L9" s="263">
        <f>((D9*DATA!$D$23)/1000000)+((E9*DATA!$D$24)/1000000)</f>
        <v>9.9857663999999993</v>
      </c>
      <c r="M9" s="263">
        <f t="shared" si="2"/>
        <v>9.9857663999999993</v>
      </c>
      <c r="N9" s="263">
        <f t="shared" ref="N9:N32" ca="1" si="6">M9-J9</f>
        <v>1.6798784311956485</v>
      </c>
      <c r="O9" s="269">
        <f>1/(1+'[91]Asumsi I'!$C$3)^(KKF!A9)</f>
        <v>0.79719387755102034</v>
      </c>
      <c r="P9" s="263">
        <f t="shared" ref="P9:P32" ca="1" si="7">O9*N9</f>
        <v>1.3391888003791839</v>
      </c>
      <c r="Q9" s="263">
        <f ca="1">Q8+P9</f>
        <v>-15.267194840797579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6912</v>
      </c>
      <c r="D10" s="263">
        <f t="shared" si="5"/>
        <v>1152</v>
      </c>
      <c r="E10" s="263">
        <f t="shared" si="0"/>
        <v>5760</v>
      </c>
      <c r="F10" s="261"/>
      <c r="G10" s="265">
        <f ca="1">DATA!$D$11/1000000</f>
        <v>0.64381252449999993</v>
      </c>
      <c r="H10" s="265">
        <f>C10*DATA!$D$5/1000000</f>
        <v>7.4934723171680693</v>
      </c>
      <c r="I10" s="265">
        <f>(C10*DATA!$D$5*DATA!$D$7)/1000000</f>
        <v>0.16860312713628153</v>
      </c>
      <c r="J10" s="263">
        <f t="shared" ca="1" si="1"/>
        <v>8.3058879688043508</v>
      </c>
      <c r="K10" s="261"/>
      <c r="L10" s="263">
        <f>((D10*DATA!$D$23)/1000000)+((E10*DATA!$D$24)/1000000)</f>
        <v>9.9857663999999993</v>
      </c>
      <c r="M10" s="263">
        <f t="shared" si="2"/>
        <v>9.9857663999999993</v>
      </c>
      <c r="N10" s="263">
        <f t="shared" ca="1" si="6"/>
        <v>1.6798784311956485</v>
      </c>
      <c r="O10" s="262">
        <f>1/(1+'[91]Asumsi I'!$C$3)^(KKF!A10)</f>
        <v>0.71178024781341087</v>
      </c>
      <c r="P10" s="263">
        <f t="shared" ca="1" si="7"/>
        <v>1.1957042860528426</v>
      </c>
      <c r="Q10" s="263">
        <f t="shared" ref="Q10:Q30" ca="1" si="9">Q9+P10</f>
        <v>-14.071490554744736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6912</v>
      </c>
      <c r="D11" s="263">
        <f t="shared" si="5"/>
        <v>1152</v>
      </c>
      <c r="E11" s="263">
        <f t="shared" si="0"/>
        <v>5760</v>
      </c>
      <c r="F11" s="261"/>
      <c r="G11" s="265">
        <f ca="1">DATA!$D$11/1000000</f>
        <v>0.64381252449999993</v>
      </c>
      <c r="H11" s="265">
        <f>C11*DATA!$D$5/1000000</f>
        <v>7.4934723171680693</v>
      </c>
      <c r="I11" s="265">
        <f>(C11*DATA!$D$5*DATA!$D$7)/1000000</f>
        <v>0.16860312713628153</v>
      </c>
      <c r="J11" s="263">
        <f t="shared" ca="1" si="1"/>
        <v>8.3058879688043508</v>
      </c>
      <c r="K11" s="261"/>
      <c r="L11" s="263">
        <f>((D11*DATA!$D$23)/1000000)+((E11*DATA!$D$24)/1000000)</f>
        <v>9.9857663999999993</v>
      </c>
      <c r="M11" s="263">
        <f t="shared" si="2"/>
        <v>9.9857663999999993</v>
      </c>
      <c r="N11" s="263">
        <f t="shared" ca="1" si="6"/>
        <v>1.6798784311956485</v>
      </c>
      <c r="O11" s="262">
        <f>1/(1+'[91]Asumsi I'!$C$3)^(KKF!A11)</f>
        <v>0.63551807840483121</v>
      </c>
      <c r="P11" s="263">
        <f t="shared" ca="1" si="7"/>
        <v>1.0675931125471809</v>
      </c>
      <c r="Q11" s="263">
        <f t="shared" ca="1" si="9"/>
        <v>-13.003897442197555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6912</v>
      </c>
      <c r="D12" s="263">
        <f t="shared" si="5"/>
        <v>1152</v>
      </c>
      <c r="E12" s="263">
        <f t="shared" si="0"/>
        <v>5760</v>
      </c>
      <c r="F12" s="261"/>
      <c r="G12" s="265">
        <f ca="1">DATA!$D$11/1000000</f>
        <v>0.64381252449999993</v>
      </c>
      <c r="H12" s="265">
        <f>C12*DATA!$D$5/1000000</f>
        <v>7.4934723171680693</v>
      </c>
      <c r="I12" s="265">
        <f>(C12*DATA!$D$5*DATA!$D$7)/1000000</f>
        <v>0.16860312713628153</v>
      </c>
      <c r="J12" s="263">
        <f t="shared" ca="1" si="1"/>
        <v>8.3058879688043508</v>
      </c>
      <c r="K12" s="261"/>
      <c r="L12" s="263">
        <f>((D12*DATA!$D$23)/1000000)+((E12*DATA!$D$24)/1000000)</f>
        <v>9.9857663999999993</v>
      </c>
      <c r="M12" s="263">
        <f t="shared" si="2"/>
        <v>9.9857663999999993</v>
      </c>
      <c r="N12" s="263">
        <f t="shared" ca="1" si="6"/>
        <v>1.6798784311956485</v>
      </c>
      <c r="O12" s="262">
        <f>1/(1+'[91]Asumsi I'!$C$3)^(KKF!A12)</f>
        <v>0.56742685571859919</v>
      </c>
      <c r="P12" s="263">
        <f t="shared" ca="1" si="7"/>
        <v>0.95320813620283995</v>
      </c>
      <c r="Q12" s="263">
        <f t="shared" ca="1" si="9"/>
        <v>-12.050689305994716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6912</v>
      </c>
      <c r="D13" s="263">
        <f t="shared" si="5"/>
        <v>1152</v>
      </c>
      <c r="E13" s="263">
        <f t="shared" si="0"/>
        <v>5760</v>
      </c>
      <c r="F13" s="261"/>
      <c r="G13" s="265">
        <f ca="1">DATA!$D$11/1000000</f>
        <v>0.64381252449999993</v>
      </c>
      <c r="H13" s="265">
        <f>C13*DATA!$D$5/1000000</f>
        <v>7.4934723171680693</v>
      </c>
      <c r="I13" s="265">
        <f>(C13*DATA!$D$5*DATA!$D$7)/1000000</f>
        <v>0.16860312713628153</v>
      </c>
      <c r="J13" s="263">
        <f t="shared" ca="1" si="1"/>
        <v>8.3058879688043508</v>
      </c>
      <c r="K13" s="261"/>
      <c r="L13" s="263">
        <f>((D13*DATA!$D$23)/1000000)+((E13*DATA!$D$24)/1000000)</f>
        <v>9.9857663999999993</v>
      </c>
      <c r="M13" s="263">
        <f t="shared" si="2"/>
        <v>9.9857663999999993</v>
      </c>
      <c r="N13" s="263">
        <f t="shared" ca="1" si="6"/>
        <v>1.6798784311956485</v>
      </c>
      <c r="O13" s="262">
        <f>1/(1+'[91]Asumsi I'!$C$3)^(KKF!A13)</f>
        <v>0.50663112117732068</v>
      </c>
      <c r="P13" s="263">
        <f t="shared" ca="1" si="7"/>
        <v>0.8510786930382499</v>
      </c>
      <c r="Q13" s="263">
        <f t="shared" ca="1" si="9"/>
        <v>-11.199610612956466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6912</v>
      </c>
      <c r="D14" s="263">
        <f t="shared" si="5"/>
        <v>1152</v>
      </c>
      <c r="E14" s="263">
        <f t="shared" si="0"/>
        <v>5760</v>
      </c>
      <c r="F14" s="261"/>
      <c r="G14" s="265">
        <f ca="1">DATA!$D$11/1000000</f>
        <v>0.64381252449999993</v>
      </c>
      <c r="H14" s="265">
        <f>C14*DATA!$D$5/1000000</f>
        <v>7.4934723171680693</v>
      </c>
      <c r="I14" s="265">
        <f>(C14*DATA!$D$5*DATA!$D$7)/1000000</f>
        <v>0.16860312713628153</v>
      </c>
      <c r="J14" s="263">
        <f t="shared" ca="1" si="1"/>
        <v>8.3058879688043508</v>
      </c>
      <c r="K14" s="261"/>
      <c r="L14" s="263">
        <f>((D14*DATA!$D$23)/1000000)+((E14*DATA!$D$24)/1000000)</f>
        <v>9.9857663999999993</v>
      </c>
      <c r="M14" s="263">
        <f t="shared" si="2"/>
        <v>9.9857663999999993</v>
      </c>
      <c r="N14" s="263">
        <f t="shared" ca="1" si="6"/>
        <v>1.6798784311956485</v>
      </c>
      <c r="O14" s="262">
        <f>1/(1+'[91]Asumsi I'!$C$3)^(KKF!A14)</f>
        <v>0.45234921533689343</v>
      </c>
      <c r="P14" s="263">
        <f t="shared" ca="1" si="7"/>
        <v>0.75989169021272307</v>
      </c>
      <c r="Q14" s="263">
        <f t="shared" ca="1" si="9"/>
        <v>-10.439718922743744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6912</v>
      </c>
      <c r="D15" s="263">
        <f t="shared" si="5"/>
        <v>1152</v>
      </c>
      <c r="E15" s="263">
        <f t="shared" si="0"/>
        <v>5760</v>
      </c>
      <c r="F15" s="261"/>
      <c r="G15" s="265">
        <f ca="1">DATA!$D$11/1000000</f>
        <v>0.64381252449999993</v>
      </c>
      <c r="H15" s="265">
        <f>C15*DATA!$D$5/1000000</f>
        <v>7.4934723171680693</v>
      </c>
      <c r="I15" s="265">
        <f>(C15*DATA!$D$5*DATA!$D$7)/1000000</f>
        <v>0.16860312713628153</v>
      </c>
      <c r="J15" s="263">
        <f t="shared" ca="1" si="1"/>
        <v>8.3058879688043508</v>
      </c>
      <c r="K15" s="261"/>
      <c r="L15" s="263">
        <f>((D15*DATA!$D$23)/1000000)+((E15*DATA!$D$24)/1000000)</f>
        <v>9.9857663999999993</v>
      </c>
      <c r="M15" s="263">
        <f t="shared" si="2"/>
        <v>9.9857663999999993</v>
      </c>
      <c r="N15" s="263">
        <f t="shared" ca="1" si="6"/>
        <v>1.6798784311956485</v>
      </c>
      <c r="O15" s="262">
        <f>1/(1+'[91]Asumsi I'!$C$3)^(KKF!A15)</f>
        <v>0.4038832279793691</v>
      </c>
      <c r="P15" s="263">
        <f t="shared" ca="1" si="7"/>
        <v>0.67847472340421699</v>
      </c>
      <c r="Q15" s="263">
        <f t="shared" ca="1" si="9"/>
        <v>-9.7612441993395258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6912</v>
      </c>
      <c r="D16" s="263">
        <f t="shared" si="5"/>
        <v>1152</v>
      </c>
      <c r="E16" s="263">
        <f t="shared" si="0"/>
        <v>5760</v>
      </c>
      <c r="F16" s="261"/>
      <c r="G16" s="265">
        <f ca="1">DATA!$D$11/1000000</f>
        <v>0.64381252449999993</v>
      </c>
      <c r="H16" s="265">
        <f>C16*DATA!$D$5/1000000</f>
        <v>7.4934723171680693</v>
      </c>
      <c r="I16" s="265">
        <f>(C16*DATA!$D$5*DATA!$D$7)/1000000</f>
        <v>0.16860312713628153</v>
      </c>
      <c r="J16" s="263">
        <f t="shared" ca="1" si="1"/>
        <v>8.3058879688043508</v>
      </c>
      <c r="K16" s="261"/>
      <c r="L16" s="263">
        <f>((D16*DATA!$D$23)/1000000)+((E16*DATA!$D$24)/1000000)</f>
        <v>9.9857663999999993</v>
      </c>
      <c r="M16" s="263">
        <f t="shared" si="2"/>
        <v>9.9857663999999993</v>
      </c>
      <c r="N16" s="263">
        <f t="shared" ca="1" si="6"/>
        <v>1.6798784311956485</v>
      </c>
      <c r="O16" s="262">
        <f>1/(1+'[91]Asumsi I'!$C$3)^(KKF!A16)</f>
        <v>0.36061002498157957</v>
      </c>
      <c r="P16" s="263">
        <f t="shared" ca="1" si="7"/>
        <v>0.60578100303947946</v>
      </c>
      <c r="Q16" s="263">
        <f t="shared" ca="1" si="9"/>
        <v>-9.1554631963000457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6912</v>
      </c>
      <c r="D17" s="263">
        <f t="shared" si="5"/>
        <v>1152</v>
      </c>
      <c r="E17" s="263">
        <f t="shared" si="0"/>
        <v>5760</v>
      </c>
      <c r="F17" s="261"/>
      <c r="G17" s="265">
        <f ca="1">DATA!$D$11/1000000</f>
        <v>0.64381252449999993</v>
      </c>
      <c r="H17" s="265">
        <f>C17*DATA!$D$5/1000000</f>
        <v>7.4934723171680693</v>
      </c>
      <c r="I17" s="265">
        <f>(C17*DATA!$D$5*DATA!$D$7)/1000000</f>
        <v>0.16860312713628153</v>
      </c>
      <c r="J17" s="263">
        <f t="shared" ca="1" si="1"/>
        <v>8.3058879688043508</v>
      </c>
      <c r="K17" s="261"/>
      <c r="L17" s="263">
        <f>((D17*DATA!$D$23)/1000000)+((E17*DATA!$D$24)/1000000)</f>
        <v>9.9857663999999993</v>
      </c>
      <c r="M17" s="263">
        <f t="shared" si="2"/>
        <v>9.9857663999999993</v>
      </c>
      <c r="N17" s="263">
        <f t="shared" ca="1" si="6"/>
        <v>1.6798784311956485</v>
      </c>
      <c r="O17" s="262">
        <f>1/(1+'[91]Asumsi I'!$C$3)^(KKF!A17)</f>
        <v>0.32197323659069599</v>
      </c>
      <c r="P17" s="263">
        <f t="shared" ca="1" si="7"/>
        <v>0.54087589557096372</v>
      </c>
      <c r="Q17" s="263">
        <f t="shared" ca="1" si="9"/>
        <v>-8.6145873007290827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6912</v>
      </c>
      <c r="D18" s="263">
        <f t="shared" si="5"/>
        <v>1152</v>
      </c>
      <c r="E18" s="263">
        <f t="shared" si="0"/>
        <v>5760</v>
      </c>
      <c r="F18" s="261"/>
      <c r="G18" s="265">
        <f ca="1">DATA!$D$11/1000000</f>
        <v>0.64381252449999993</v>
      </c>
      <c r="H18" s="265">
        <f>C18*DATA!$D$5/1000000</f>
        <v>7.4934723171680693</v>
      </c>
      <c r="I18" s="265">
        <f>(C18*DATA!$D$5*DATA!$D$7)/1000000</f>
        <v>0.16860312713628153</v>
      </c>
      <c r="J18" s="263">
        <f t="shared" ca="1" si="1"/>
        <v>8.3058879688043508</v>
      </c>
      <c r="K18" s="261"/>
      <c r="L18" s="263">
        <f>((D18*DATA!$D$23)/1000000)+((E18*DATA!$D$24)/1000000)</f>
        <v>9.9857663999999993</v>
      </c>
      <c r="M18" s="263">
        <f t="shared" si="2"/>
        <v>9.9857663999999993</v>
      </c>
      <c r="N18" s="263">
        <f t="shared" ca="1" si="6"/>
        <v>1.6798784311956485</v>
      </c>
      <c r="O18" s="262">
        <f>1/(1+'[91]Asumsi I'!$C$3)^(KKF!A18)</f>
        <v>0.28747610409883567</v>
      </c>
      <c r="P18" s="263">
        <f t="shared" ca="1" si="7"/>
        <v>0.482924906759789</v>
      </c>
      <c r="Q18" s="263">
        <f t="shared" ca="1" si="9"/>
        <v>-8.1316623939692931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6912</v>
      </c>
      <c r="D19" s="263">
        <f t="shared" si="5"/>
        <v>1152</v>
      </c>
      <c r="E19" s="263">
        <f t="shared" si="0"/>
        <v>5760</v>
      </c>
      <c r="F19" s="261"/>
      <c r="G19" s="265">
        <f ca="1">DATA!$D$11/1000000</f>
        <v>0.64381252449999993</v>
      </c>
      <c r="H19" s="265">
        <f>C19*DATA!$D$5/1000000</f>
        <v>7.4934723171680693</v>
      </c>
      <c r="I19" s="265">
        <f>(C19*DATA!$D$5*DATA!$D$7)/1000000</f>
        <v>0.16860312713628153</v>
      </c>
      <c r="J19" s="263">
        <f t="shared" ca="1" si="1"/>
        <v>8.3058879688043508</v>
      </c>
      <c r="K19" s="261"/>
      <c r="L19" s="263">
        <f>((D19*DATA!$D$23)/1000000)+((E19*DATA!$D$24)/1000000)</f>
        <v>9.9857663999999993</v>
      </c>
      <c r="M19" s="263">
        <f t="shared" si="2"/>
        <v>9.9857663999999993</v>
      </c>
      <c r="N19" s="263">
        <f t="shared" ca="1" si="6"/>
        <v>1.6798784311956485</v>
      </c>
      <c r="O19" s="262">
        <f>1/(1+'[91]Asumsi I'!$C$3)^(KKF!A19)</f>
        <v>0.25667509294538904</v>
      </c>
      <c r="P19" s="263">
        <f t="shared" ca="1" si="7"/>
        <v>0.43118295246409738</v>
      </c>
      <c r="Q19" s="263">
        <f t="shared" ca="1" si="9"/>
        <v>-7.7004794415051956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6912</v>
      </c>
      <c r="D20" s="263">
        <f t="shared" si="5"/>
        <v>1152</v>
      </c>
      <c r="E20" s="263">
        <f t="shared" si="0"/>
        <v>5760</v>
      </c>
      <c r="F20" s="261"/>
      <c r="G20" s="265">
        <f ca="1">DATA!$D$11/1000000</f>
        <v>0.64381252449999993</v>
      </c>
      <c r="H20" s="265">
        <f>C20*DATA!$D$5/1000000</f>
        <v>7.4934723171680693</v>
      </c>
      <c r="I20" s="265">
        <f>(C20*DATA!$D$5*DATA!$D$7)/1000000</f>
        <v>0.16860312713628153</v>
      </c>
      <c r="J20" s="263">
        <f t="shared" ca="1" si="1"/>
        <v>8.3058879688043508</v>
      </c>
      <c r="K20" s="261"/>
      <c r="L20" s="263">
        <f>((D20*DATA!$D$23)/1000000)+((E20*DATA!$D$24)/1000000)</f>
        <v>9.9857663999999993</v>
      </c>
      <c r="M20" s="263">
        <f t="shared" si="2"/>
        <v>9.9857663999999993</v>
      </c>
      <c r="N20" s="263">
        <f t="shared" ca="1" si="6"/>
        <v>1.6798784311956485</v>
      </c>
      <c r="O20" s="262">
        <f>1/(1+'[91]Asumsi I'!$C$3)^(KKF!A20)</f>
        <v>0.22917419012981158</v>
      </c>
      <c r="P20" s="263">
        <f t="shared" ca="1" si="7"/>
        <v>0.38498477898580113</v>
      </c>
      <c r="Q20" s="263">
        <f t="shared" ca="1" si="9"/>
        <v>-7.3154946625193942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6912</v>
      </c>
      <c r="D21" s="263">
        <f t="shared" si="5"/>
        <v>1152</v>
      </c>
      <c r="E21" s="263">
        <f t="shared" si="0"/>
        <v>5760</v>
      </c>
      <c r="F21" s="261"/>
      <c r="G21" s="265">
        <f ca="1">DATA!$D$11/1000000</f>
        <v>0.64381252449999993</v>
      </c>
      <c r="H21" s="265">
        <f>C21*DATA!$D$5/1000000</f>
        <v>7.4934723171680693</v>
      </c>
      <c r="I21" s="265">
        <f>(C21*DATA!$D$5*DATA!$D$7)/1000000</f>
        <v>0.16860312713628153</v>
      </c>
      <c r="J21" s="263">
        <f t="shared" ca="1" si="1"/>
        <v>8.3058879688043508</v>
      </c>
      <c r="K21" s="261"/>
      <c r="L21" s="263">
        <f>((D21*DATA!$D$23)/1000000)+((E21*DATA!$D$24)/1000000)</f>
        <v>9.9857663999999993</v>
      </c>
      <c r="M21" s="263">
        <f t="shared" si="2"/>
        <v>9.9857663999999993</v>
      </c>
      <c r="N21" s="263">
        <f t="shared" ca="1" si="6"/>
        <v>1.6798784311956485</v>
      </c>
      <c r="O21" s="262">
        <f>1/(1+'[91]Asumsi I'!$C$3)^(KKF!A21)</f>
        <v>0.20461981261590317</v>
      </c>
      <c r="P21" s="263">
        <f t="shared" ca="1" si="7"/>
        <v>0.34373640980875098</v>
      </c>
      <c r="Q21" s="263">
        <f t="shared" ca="1" si="9"/>
        <v>-6.971758252710643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6912</v>
      </c>
      <c r="D22" s="263">
        <f t="shared" si="5"/>
        <v>1152</v>
      </c>
      <c r="E22" s="263">
        <f t="shared" si="0"/>
        <v>5760</v>
      </c>
      <c r="F22" s="261"/>
      <c r="G22" s="265">
        <f ca="1">DATA!$D$11/1000000</f>
        <v>0.64381252449999993</v>
      </c>
      <c r="H22" s="265">
        <f>C22*DATA!$D$5/1000000</f>
        <v>7.4934723171680693</v>
      </c>
      <c r="I22" s="265">
        <f>(C22*DATA!$D$5*DATA!$D$7)/1000000</f>
        <v>0.16860312713628153</v>
      </c>
      <c r="J22" s="263">
        <f t="shared" ca="1" si="1"/>
        <v>8.3058879688043508</v>
      </c>
      <c r="K22" s="261"/>
      <c r="L22" s="263">
        <f>((D22*DATA!$D$23)/1000000)+((E22*DATA!$D$24)/1000000)</f>
        <v>9.9857663999999993</v>
      </c>
      <c r="M22" s="263">
        <f t="shared" si="2"/>
        <v>9.9857663999999993</v>
      </c>
      <c r="N22" s="263">
        <f t="shared" ca="1" si="6"/>
        <v>1.6798784311956485</v>
      </c>
      <c r="O22" s="262">
        <f>1/(1+'[91]Asumsi I'!$C$3)^(KKF!A22)</f>
        <v>0.18269626126419927</v>
      </c>
      <c r="P22" s="263">
        <f t="shared" ca="1" si="7"/>
        <v>0.30690750875781342</v>
      </c>
      <c r="Q22" s="263">
        <f t="shared" ca="1" si="9"/>
        <v>-6.6648507439528295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6912</v>
      </c>
      <c r="D23" s="263">
        <f t="shared" si="5"/>
        <v>1152</v>
      </c>
      <c r="E23" s="263">
        <f t="shared" si="0"/>
        <v>5760</v>
      </c>
      <c r="F23" s="261"/>
      <c r="G23" s="265">
        <f ca="1">DATA!$D$11/1000000</f>
        <v>0.64381252449999993</v>
      </c>
      <c r="H23" s="265">
        <f>C23*DATA!$D$5/1000000</f>
        <v>7.4934723171680693</v>
      </c>
      <c r="I23" s="265">
        <f>(C23*DATA!$D$5*DATA!$D$7)/1000000</f>
        <v>0.16860312713628153</v>
      </c>
      <c r="J23" s="263">
        <f t="shared" ca="1" si="1"/>
        <v>8.3058879688043508</v>
      </c>
      <c r="K23" s="261"/>
      <c r="L23" s="263">
        <f>((D23*DATA!$D$23)/1000000)+((E23*DATA!$D$24)/1000000)</f>
        <v>9.9857663999999993</v>
      </c>
      <c r="M23" s="263">
        <f t="shared" si="2"/>
        <v>9.9857663999999993</v>
      </c>
      <c r="N23" s="263">
        <f t="shared" ca="1" si="6"/>
        <v>1.6798784311956485</v>
      </c>
      <c r="O23" s="262">
        <f>1/(1+'[91]Asumsi I'!$C$3)^(KKF!A23)</f>
        <v>0.16312166184303503</v>
      </c>
      <c r="P23" s="263">
        <f t="shared" ca="1" si="7"/>
        <v>0.27402456139090475</v>
      </c>
      <c r="Q23" s="263">
        <f t="shared" ca="1" si="9"/>
        <v>-6.3908261825619244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6912</v>
      </c>
      <c r="D24" s="263">
        <f t="shared" si="5"/>
        <v>1152</v>
      </c>
      <c r="E24" s="263">
        <f t="shared" si="0"/>
        <v>5760</v>
      </c>
      <c r="F24" s="261"/>
      <c r="G24" s="265">
        <f ca="1">DATA!$D$11/1000000</f>
        <v>0.64381252449999993</v>
      </c>
      <c r="H24" s="265">
        <f>C24*DATA!$D$5/1000000</f>
        <v>7.4934723171680693</v>
      </c>
      <c r="I24" s="265">
        <f>(C24*DATA!$D$5*DATA!$D$7)/1000000</f>
        <v>0.16860312713628153</v>
      </c>
      <c r="J24" s="263">
        <f t="shared" ca="1" si="1"/>
        <v>8.3058879688043508</v>
      </c>
      <c r="K24" s="261"/>
      <c r="L24" s="263">
        <f>((D24*DATA!$D$23)/1000000)+((E24*DATA!$D$24)/1000000)</f>
        <v>9.9857663999999993</v>
      </c>
      <c r="M24" s="263">
        <f t="shared" si="2"/>
        <v>9.9857663999999993</v>
      </c>
      <c r="N24" s="263">
        <f t="shared" ca="1" si="6"/>
        <v>1.6798784311956485</v>
      </c>
      <c r="O24" s="262">
        <f>1/(1+'[91]Asumsi I'!$C$3)^(KKF!A24)</f>
        <v>0.14564434093128129</v>
      </c>
      <c r="P24" s="263">
        <f t="shared" ca="1" si="7"/>
        <v>0.24466478695616498</v>
      </c>
      <c r="Q24" s="263">
        <f t="shared" ca="1" si="9"/>
        <v>-6.146161395605759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6912</v>
      </c>
      <c r="D25" s="263">
        <f t="shared" si="5"/>
        <v>1152</v>
      </c>
      <c r="E25" s="263">
        <f t="shared" si="0"/>
        <v>5760</v>
      </c>
      <c r="F25" s="261"/>
      <c r="G25" s="265">
        <f ca="1">DATA!$D$11/1000000</f>
        <v>0.64381252449999993</v>
      </c>
      <c r="H25" s="265">
        <f>C25*DATA!$D$5/1000000</f>
        <v>7.4934723171680693</v>
      </c>
      <c r="I25" s="265">
        <f>(C25*DATA!$D$5*DATA!$D$7)/1000000</f>
        <v>0.16860312713628153</v>
      </c>
      <c r="J25" s="263">
        <f t="shared" ca="1" si="1"/>
        <v>8.3058879688043508</v>
      </c>
      <c r="K25" s="261"/>
      <c r="L25" s="263">
        <f>((D25*DATA!$D$23)/1000000)+((E25*DATA!$D$24)/1000000)</f>
        <v>9.9857663999999993</v>
      </c>
      <c r="M25" s="263">
        <f t="shared" si="2"/>
        <v>9.9857663999999993</v>
      </c>
      <c r="N25" s="263">
        <f t="shared" ca="1" si="6"/>
        <v>1.6798784311956485</v>
      </c>
      <c r="O25" s="262">
        <f>1/(1+'[91]Asumsi I'!$C$3)^(KKF!A25)</f>
        <v>0.13003959011721541</v>
      </c>
      <c r="P25" s="263">
        <f t="shared" ca="1" si="7"/>
        <v>0.21845070263943298</v>
      </c>
      <c r="Q25" s="263">
        <f t="shared" ca="1" si="9"/>
        <v>-5.9277106929663264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6912</v>
      </c>
      <c r="D26" s="263">
        <f t="shared" si="5"/>
        <v>1152</v>
      </c>
      <c r="E26" s="263">
        <f t="shared" si="0"/>
        <v>5760</v>
      </c>
      <c r="F26" s="261"/>
      <c r="G26" s="265">
        <f ca="1">DATA!$D$11/1000000</f>
        <v>0.64381252449999993</v>
      </c>
      <c r="H26" s="265">
        <f>C26*DATA!$D$5/1000000</f>
        <v>7.4934723171680693</v>
      </c>
      <c r="I26" s="265">
        <f>(C26*DATA!$D$5*DATA!$D$7)/1000000</f>
        <v>0.16860312713628153</v>
      </c>
      <c r="J26" s="263">
        <f t="shared" ca="1" si="1"/>
        <v>8.3058879688043508</v>
      </c>
      <c r="K26" s="261"/>
      <c r="L26" s="263">
        <f>((D26*DATA!$D$23)/1000000)+((E26*DATA!$D$24)/1000000)</f>
        <v>9.9857663999999993</v>
      </c>
      <c r="M26" s="263">
        <f t="shared" si="2"/>
        <v>9.9857663999999993</v>
      </c>
      <c r="N26" s="263">
        <f t="shared" ca="1" si="6"/>
        <v>1.6798784311956485</v>
      </c>
      <c r="O26" s="262">
        <f>1/(1+'[91]Asumsi I'!$C$3)^(KKF!A26)</f>
        <v>0.1161067768903709</v>
      </c>
      <c r="P26" s="263">
        <f t="shared" ca="1" si="7"/>
        <v>0.19504527021377943</v>
      </c>
      <c r="Q26" s="263">
        <f t="shared" ca="1" si="9"/>
        <v>-5.7326654227525466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6912</v>
      </c>
      <c r="D27" s="263">
        <f t="shared" si="5"/>
        <v>1152</v>
      </c>
      <c r="E27" s="263">
        <f t="shared" si="0"/>
        <v>5760</v>
      </c>
      <c r="F27" s="261"/>
      <c r="G27" s="265">
        <f ca="1">DATA!$D$11/1000000</f>
        <v>0.64381252449999993</v>
      </c>
      <c r="H27" s="265">
        <f>C27*DATA!$D$5/1000000</f>
        <v>7.4934723171680693</v>
      </c>
      <c r="I27" s="265">
        <f>(C27*DATA!$D$5*DATA!$D$7)/1000000</f>
        <v>0.16860312713628153</v>
      </c>
      <c r="J27" s="263">
        <f t="shared" ca="1" si="1"/>
        <v>8.3058879688043508</v>
      </c>
      <c r="K27" s="261"/>
      <c r="L27" s="263">
        <f>((D27*DATA!$D$23)/1000000)+((E27*DATA!$D$24)/1000000)</f>
        <v>9.9857663999999993</v>
      </c>
      <c r="M27" s="263">
        <f t="shared" si="2"/>
        <v>9.9857663999999993</v>
      </c>
      <c r="N27" s="263">
        <f t="shared" ca="1" si="6"/>
        <v>1.6798784311956485</v>
      </c>
      <c r="O27" s="262">
        <f>1/(1+'[91]Asumsi I'!$C$3)^(KKF!A27)</f>
        <v>0.1036667650806883</v>
      </c>
      <c r="P27" s="263">
        <f t="shared" ca="1" si="7"/>
        <v>0.1741475626908745</v>
      </c>
      <c r="Q27" s="263">
        <f t="shared" ca="1" si="9"/>
        <v>-5.5585178600616718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6912</v>
      </c>
      <c r="D28" s="263">
        <f t="shared" si="5"/>
        <v>1152</v>
      </c>
      <c r="E28" s="263">
        <f t="shared" si="0"/>
        <v>5760</v>
      </c>
      <c r="F28" s="261"/>
      <c r="G28" s="265">
        <f ca="1">DATA!$D$11/1000000</f>
        <v>0.64381252449999993</v>
      </c>
      <c r="H28" s="265">
        <f>C28*DATA!$D$5/1000000</f>
        <v>7.4934723171680693</v>
      </c>
      <c r="I28" s="265">
        <f>(C28*DATA!$D$5*DATA!$D$7)/1000000</f>
        <v>0.16860312713628153</v>
      </c>
      <c r="J28" s="263">
        <f t="shared" ca="1" si="1"/>
        <v>8.3058879688043508</v>
      </c>
      <c r="K28" s="261"/>
      <c r="L28" s="263">
        <f>((D28*DATA!$D$23)/1000000)+((E28*DATA!$D$24)/1000000)</f>
        <v>9.9857663999999993</v>
      </c>
      <c r="M28" s="263">
        <f t="shared" si="2"/>
        <v>9.9857663999999993</v>
      </c>
      <c r="N28" s="263">
        <f t="shared" ca="1" si="6"/>
        <v>1.6798784311956485</v>
      </c>
      <c r="O28" s="262">
        <f>1/(1+'[91]Asumsi I'!$C$3)^(KKF!A28)</f>
        <v>9.2559611679185971E-2</v>
      </c>
      <c r="P28" s="263">
        <f t="shared" ca="1" si="7"/>
        <v>0.15548889525970935</v>
      </c>
      <c r="Q28" s="263">
        <f t="shared" ca="1" si="9"/>
        <v>-5.4030289648019627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6912</v>
      </c>
      <c r="D29" s="263">
        <f t="shared" si="5"/>
        <v>1152</v>
      </c>
      <c r="E29" s="263">
        <f t="shared" si="0"/>
        <v>5760</v>
      </c>
      <c r="F29" s="261"/>
      <c r="G29" s="265">
        <f ca="1">DATA!$D$11/1000000</f>
        <v>0.64381252449999993</v>
      </c>
      <c r="H29" s="265">
        <f>C29*DATA!$D$5/1000000</f>
        <v>7.4934723171680693</v>
      </c>
      <c r="I29" s="265">
        <f>(C29*DATA!$D$5*DATA!$D$7)/1000000</f>
        <v>0.16860312713628153</v>
      </c>
      <c r="J29" s="263">
        <f t="shared" ca="1" si="1"/>
        <v>8.3058879688043508</v>
      </c>
      <c r="K29" s="261"/>
      <c r="L29" s="263">
        <f>((D29*DATA!$D$23)/1000000)+((E29*DATA!$D$24)/1000000)</f>
        <v>9.9857663999999993</v>
      </c>
      <c r="M29" s="263">
        <f t="shared" si="2"/>
        <v>9.9857663999999993</v>
      </c>
      <c r="N29" s="263">
        <f t="shared" ca="1" si="6"/>
        <v>1.6798784311956485</v>
      </c>
      <c r="O29" s="262">
        <f>1/(1+'[91]Asumsi I'!$C$3)^(KKF!A29)</f>
        <v>8.2642510427844609E-2</v>
      </c>
      <c r="P29" s="263">
        <f t="shared" ca="1" si="7"/>
        <v>0.13882937076759763</v>
      </c>
      <c r="Q29" s="263">
        <f t="shared" ca="1" si="9"/>
        <v>-5.2641995940343653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6912</v>
      </c>
      <c r="D30" s="263">
        <f t="shared" si="5"/>
        <v>1152</v>
      </c>
      <c r="E30" s="263">
        <f t="shared" si="0"/>
        <v>5760</v>
      </c>
      <c r="F30" s="261"/>
      <c r="G30" s="265">
        <f ca="1">DATA!$D$11/1000000</f>
        <v>0.64381252449999993</v>
      </c>
      <c r="H30" s="265">
        <f>C30*DATA!$D$5/1000000</f>
        <v>7.4934723171680693</v>
      </c>
      <c r="I30" s="265">
        <f>(C30*DATA!$D$5*DATA!$D$7)/1000000</f>
        <v>0.16860312713628153</v>
      </c>
      <c r="J30" s="263">
        <f t="shared" ca="1" si="1"/>
        <v>8.3058879688043508</v>
      </c>
      <c r="K30" s="261"/>
      <c r="L30" s="263">
        <f>((D30*DATA!$D$23)/1000000)+((E30*DATA!$D$24)/1000000)</f>
        <v>9.9857663999999993</v>
      </c>
      <c r="M30" s="263">
        <f t="shared" si="2"/>
        <v>9.9857663999999993</v>
      </c>
      <c r="N30" s="263">
        <f t="shared" ca="1" si="6"/>
        <v>1.6798784311956485</v>
      </c>
      <c r="O30" s="262">
        <f>1/(1+'[91]Asumsi I'!$C$3)^(KKF!A30)</f>
        <v>7.3787955739146982E-2</v>
      </c>
      <c r="P30" s="263">
        <f t="shared" ca="1" si="7"/>
        <v>0.12395479532821219</v>
      </c>
      <c r="Q30" s="263">
        <f t="shared" ca="1" si="9"/>
        <v>-5.1402447987061528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6912</v>
      </c>
      <c r="D31" s="263">
        <f t="shared" si="5"/>
        <v>1152</v>
      </c>
      <c r="E31" s="263">
        <f t="shared" si="0"/>
        <v>5760</v>
      </c>
      <c r="F31" s="261"/>
      <c r="G31" s="265">
        <f ca="1">DATA!$D$11/1000000</f>
        <v>0.64381252449999993</v>
      </c>
      <c r="H31" s="265">
        <f>C31*DATA!$D$5/1000000</f>
        <v>7.4934723171680693</v>
      </c>
      <c r="I31" s="265">
        <f>(C31*DATA!$D$5*DATA!$D$7)/1000000</f>
        <v>0.16860312713628153</v>
      </c>
      <c r="J31" s="263">
        <f t="shared" ca="1" si="1"/>
        <v>8.3058879688043508</v>
      </c>
      <c r="K31" s="261"/>
      <c r="L31" s="263">
        <f>((D31*DATA!$D$23)/1000000)+((E31*DATA!$D$24)/1000000)</f>
        <v>9.9857663999999993</v>
      </c>
      <c r="M31" s="263">
        <f t="shared" si="2"/>
        <v>9.9857663999999993</v>
      </c>
      <c r="N31" s="263">
        <f t="shared" ca="1" si="6"/>
        <v>1.6798784311956485</v>
      </c>
      <c r="O31" s="262">
        <f>1/(1+'[91]Asumsi I'!$C$3)^(KKF!A31)</f>
        <v>6.5882103338524081E-2</v>
      </c>
      <c r="P31" s="263">
        <f t="shared" ca="1" si="7"/>
        <v>0.11067392440018943</v>
      </c>
      <c r="Q31" s="263">
        <f ca="1">Q30+P31</f>
        <v>-5.0295708743059633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6912</v>
      </c>
      <c r="D32" s="263">
        <f t="shared" si="5"/>
        <v>1152</v>
      </c>
      <c r="E32" s="263">
        <f t="shared" si="0"/>
        <v>5760</v>
      </c>
      <c r="F32" s="261"/>
      <c r="G32" s="265">
        <f ca="1">DATA!$D$11/1000000</f>
        <v>0.64381252449999993</v>
      </c>
      <c r="H32" s="265">
        <f>C32*DATA!$D$5/1000000</f>
        <v>7.4934723171680693</v>
      </c>
      <c r="I32" s="265">
        <f>(C32*DATA!$D$5*DATA!$D$7)/1000000</f>
        <v>0.16860312713628153</v>
      </c>
      <c r="J32" s="263">
        <f t="shared" ca="1" si="1"/>
        <v>8.3058879688043508</v>
      </c>
      <c r="K32" s="261"/>
      <c r="L32" s="263">
        <f>((D32*DATA!$D$23)/1000000)+((E32*DATA!$D$24)/1000000)</f>
        <v>9.9857663999999993</v>
      </c>
      <c r="M32" s="263">
        <f t="shared" si="2"/>
        <v>9.9857663999999993</v>
      </c>
      <c r="N32" s="263">
        <f t="shared" ca="1" si="6"/>
        <v>1.6798784311956485</v>
      </c>
      <c r="O32" s="262">
        <f>1/(1+'[91]Asumsi I'!$C$3)^(KKF!A32)</f>
        <v>5.8823306552253637E-2</v>
      </c>
      <c r="P32" s="263">
        <f t="shared" ca="1" si="7"/>
        <v>9.8816003928740556E-2</v>
      </c>
      <c r="Q32" s="263">
        <f ca="1">Q31+P32</f>
        <v>-4.930754870377223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66" t="s">
        <v>1373</v>
      </c>
      <c r="G33" s="566"/>
      <c r="H33" s="566"/>
      <c r="I33" s="271"/>
      <c r="J33" s="272">
        <f ca="1">SUM(J7:J32)</f>
        <v>243.03566311771013</v>
      </c>
      <c r="K33" s="566" t="s">
        <v>1374</v>
      </c>
      <c r="L33" s="566"/>
      <c r="M33" s="272">
        <f>SUM(M7:M32)</f>
        <v>266.92634879999986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21.066086236022336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1.0983011520853163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-4.4024597056939534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7.8873249213151198E-2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5"/>
  <sheetViews>
    <sheetView showGridLines="0" zoomScale="70" zoomScaleNormal="70" zoomScaleSheetLayoutView="70" workbookViewId="0">
      <pane ySplit="13" topLeftCell="A75" activePane="bottomLeft" state="frozen"/>
      <selection activeCell="H1093" sqref="H1093"/>
      <selection pane="bottomLeft" activeCell="H8" sqref="H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69" t="s">
        <v>1036</v>
      </c>
      <c r="P3" s="569"/>
      <c r="Q3" s="293"/>
      <c r="T3" s="291"/>
      <c r="U3" s="292" t="s">
        <v>1041</v>
      </c>
      <c r="V3" s="291"/>
    </row>
    <row r="4" spans="1:22" ht="15.75" customHeight="1">
      <c r="B4" s="570" t="s">
        <v>1023</v>
      </c>
      <c r="C4" s="570"/>
      <c r="D4" s="570"/>
      <c r="E4" s="570"/>
      <c r="F4" s="570"/>
      <c r="G4" s="570"/>
      <c r="H4" s="570"/>
      <c r="I4" s="570"/>
      <c r="J4" s="570"/>
      <c r="K4" s="570"/>
      <c r="O4" s="569"/>
      <c r="P4" s="56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586" t="s">
        <v>1635</v>
      </c>
      <c r="H6" s="587"/>
      <c r="I6" s="587"/>
      <c r="J6" s="587"/>
      <c r="K6" s="587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1636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572" t="s">
        <v>0</v>
      </c>
      <c r="C11" s="574" t="s">
        <v>1</v>
      </c>
      <c r="D11" s="577" t="s">
        <v>42</v>
      </c>
      <c r="E11" s="577" t="s">
        <v>43</v>
      </c>
      <c r="F11" s="577" t="s">
        <v>2</v>
      </c>
      <c r="G11" s="579" t="s">
        <v>41</v>
      </c>
      <c r="H11" s="577" t="s">
        <v>3</v>
      </c>
      <c r="I11" s="577"/>
      <c r="J11" s="577"/>
      <c r="K11" s="59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573"/>
      <c r="C12" s="575"/>
      <c r="D12" s="578"/>
      <c r="E12" s="578"/>
      <c r="F12" s="578"/>
      <c r="G12" s="580"/>
      <c r="H12" s="582" t="s">
        <v>46</v>
      </c>
      <c r="I12" s="582" t="s">
        <v>5</v>
      </c>
      <c r="J12" s="578" t="s">
        <v>47</v>
      </c>
      <c r="K12" s="59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573"/>
      <c r="C13" s="576"/>
      <c r="D13" s="578"/>
      <c r="E13" s="578"/>
      <c r="F13" s="578"/>
      <c r="G13" s="581"/>
      <c r="H13" s="583"/>
      <c r="I13" s="583"/>
      <c r="J13" s="578"/>
      <c r="K13" s="59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9" ca="1" si="4">IF(OR(D15="MDU",D15="MDU-KD"),(IF($O$3="RAB NON MDU","PLN KD",G15*F15)),0)</f>
        <v>0</v>
      </c>
      <c r="I15" s="308">
        <f t="shared" ref="I15:I19" ca="1" si="5">IF(D15="HDW",G15*F15,0)</f>
        <v>0</v>
      </c>
      <c r="J15" s="308">
        <f t="shared" ref="J15:J19" ca="1" si="6">IF(D15="JASA",G15*F15,0)</f>
        <v>0</v>
      </c>
      <c r="K15" s="309">
        <f t="shared" ref="K15:K19" ca="1" si="7">SUM(H15:J15)</f>
        <v>0</v>
      </c>
      <c r="L15" s="289"/>
      <c r="M15" s="289" t="str">
        <f t="shared" ref="M15:M20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101</v>
      </c>
      <c r="D17" s="226" t="s">
        <v>45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2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si="4"/>
        <v>0</v>
      </c>
      <c r="I17" s="308">
        <f t="shared" ca="1" si="5"/>
        <v>6765200</v>
      </c>
      <c r="J17" s="308">
        <f t="shared" si="6"/>
        <v>0</v>
      </c>
      <c r="K17" s="309">
        <f t="shared" ca="1" si="7"/>
        <v>6765200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418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2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20133.333333333336</v>
      </c>
      <c r="K18" s="309">
        <f t="shared" ca="1" si="7"/>
        <v>20133.333333333336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>
        <v>3</v>
      </c>
      <c r="C19" s="418" t="s">
        <v>461</v>
      </c>
      <c r="D19" s="305" t="str">
        <f ca="1">IF(ISERROR(OFFSET('HARGA SATUAN'!$D$6,MATCH(RAB!C19,'HARGA SATUAN'!$C$7:$C$1495,0),0)),"",OFFSET('HARGA SATUAN'!$D$6,MATCH(RAB!C19,'HARGA SATUAN'!$C$7:$C$1495,0),0))</f>
        <v>HDW</v>
      </c>
      <c r="E19" s="306" t="str">
        <f ca="1">IF(B19="+","Unit",IF(ISERROR(OFFSET('HARGA SATUAN'!$E$6,MATCH(RAB!C19,'HARGA SATUAN'!$C$7:$C$1495,0),0)),"",OFFSET('HARGA SATUAN'!$E$6,MATCH(RAB!C19,'HARGA SATUAN'!$C$7:$C$1495,0),0)))</f>
        <v>Set</v>
      </c>
      <c r="F19" s="420">
        <v>2</v>
      </c>
      <c r="G19" s="307">
        <f ca="1">IF(ISERROR(OFFSET('HARGA SATUAN'!$I$6,MATCH(RAB!C19,'HARGA SATUAN'!$C$7:$C$1495,0),0)),0,OFFSET('HARGA SATUAN'!$I$6,MATCH(RAB!C19,'HARGA SATUAN'!$C$7:$C$1495,0),0))</f>
        <v>200000</v>
      </c>
      <c r="H19" s="308">
        <f t="shared" ca="1" si="4"/>
        <v>0</v>
      </c>
      <c r="I19" s="308">
        <f t="shared" ca="1" si="5"/>
        <v>400000</v>
      </c>
      <c r="J19" s="308">
        <f t="shared" ca="1" si="6"/>
        <v>0</v>
      </c>
      <c r="K19" s="309">
        <f t="shared" ca="1" si="7"/>
        <v>400000</v>
      </c>
      <c r="L19" s="289"/>
      <c r="M19" s="289" t="str">
        <f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8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4"/>
      <c r="C21" s="465"/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55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318" t="s">
        <v>1035</v>
      </c>
      <c r="C22" s="319" t="s">
        <v>1612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>Unit</v>
      </c>
      <c r="F22" s="455">
        <v>2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ref="H22:H41" ca="1" si="9">IF(OR(D22="MDU",D22="MDU-KD"),(IF($O$3="RAB NON MDU","PLN KD",G22*F22)),0)</f>
        <v>0</v>
      </c>
      <c r="I22" s="308">
        <f t="shared" ref="I22:I41" ca="1" si="10">IF(D22="HDW",G22*F22,0)</f>
        <v>0</v>
      </c>
      <c r="J22" s="308">
        <f t="shared" ref="J22:J41" ca="1" si="11">IF(D22="JASA",G22*F22,0)</f>
        <v>0</v>
      </c>
      <c r="K22" s="309">
        <f t="shared" ref="K22:K41" ca="1" si="12">SUM(H22:J22)</f>
        <v>0</v>
      </c>
      <c r="L22" s="316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318">
        <v>1</v>
      </c>
      <c r="C23" s="319" t="s">
        <v>30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5">
        <f>F22*1</f>
        <v>2</v>
      </c>
      <c r="G23" s="307">
        <f ca="1">IF(ISERROR(OFFSET('HARGA SATUAN'!$I$6,MATCH(RAB!C23,'HARGA SATUAN'!$C$7:$C$1495,0),0)),0,OFFSET('HARGA SATUAN'!$I$6,MATCH(RAB!C23,'HARGA SATUAN'!$C$7:$C$1495,0),0))</f>
        <v>47459</v>
      </c>
      <c r="H23" s="308">
        <f t="shared" ca="1" si="9"/>
        <v>0</v>
      </c>
      <c r="I23" s="308">
        <f t="shared" ca="1" si="10"/>
        <v>94918</v>
      </c>
      <c r="J23" s="308">
        <f t="shared" ca="1" si="11"/>
        <v>0</v>
      </c>
      <c r="K23" s="309">
        <f t="shared" ca="1" si="12"/>
        <v>94918</v>
      </c>
      <c r="L23" s="316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>
        <v>2</v>
      </c>
      <c r="C24" s="319" t="s">
        <v>32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5">
        <f>F22*0.8</f>
        <v>1.6</v>
      </c>
      <c r="G24" s="307">
        <f ca="1">IF(ISERROR(OFFSET('HARGA SATUAN'!$I$6,MATCH(RAB!C24,'HARGA SATUAN'!$C$7:$C$1495,0),0)),0,OFFSET('HARGA SATUAN'!$I$6,MATCH(RAB!C24,'HARGA SATUAN'!$C$7:$C$1495,0),0))</f>
        <v>30000</v>
      </c>
      <c r="H24" s="308">
        <f t="shared" ca="1" si="9"/>
        <v>0</v>
      </c>
      <c r="I24" s="308">
        <f t="shared" ca="1" si="10"/>
        <v>48000</v>
      </c>
      <c r="J24" s="308">
        <f t="shared" ca="1" si="11"/>
        <v>0</v>
      </c>
      <c r="K24" s="309">
        <f t="shared" ca="1" si="12"/>
        <v>48000</v>
      </c>
      <c r="L24" s="316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33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5">
        <f>F22*1</f>
        <v>2</v>
      </c>
      <c r="G25" s="307">
        <f ca="1">IF(ISERROR(OFFSET('HARGA SATUAN'!$I$6,MATCH(RAB!C25,'HARGA SATUAN'!$C$7:$C$1495,0),0)),0,OFFSET('HARGA SATUAN'!$I$6,MATCH(RAB!C25,'HARGA SATUAN'!$C$7:$C$1495,0),0))</f>
        <v>9500</v>
      </c>
      <c r="H25" s="308">
        <f t="shared" ca="1" si="9"/>
        <v>0</v>
      </c>
      <c r="I25" s="308">
        <f t="shared" ca="1" si="10"/>
        <v>19000</v>
      </c>
      <c r="J25" s="308">
        <f t="shared" ca="1" si="11"/>
        <v>0</v>
      </c>
      <c r="K25" s="309">
        <f t="shared" ca="1" si="12"/>
        <v>19000</v>
      </c>
      <c r="L25" s="316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737</v>
      </c>
      <c r="D26" s="305" t="str">
        <f ca="1">IF(ISERROR(OFFSET('HARGA SATUAN'!$D$6,MATCH(RAB!C26,'HARGA SATUAN'!$C$7:$C$1495,0),0)),"",OFFSET('HARGA SATUAN'!$D$6,MATCH(RAB!C26,'HARGA SATUAN'!$C$7:$C$1495,0),0))</f>
        <v>JASA</v>
      </c>
      <c r="E26" s="306" t="str">
        <f ca="1">IF(B26="+","Unit",IF(ISERROR(OFFSET('HARGA SATUAN'!$E$6,MATCH(RAB!C26,'HARGA SATUAN'!$C$7:$C$1495,0),0)),"",OFFSET('HARGA SATUAN'!$E$6,MATCH(RAB!C26,'HARGA SATUAN'!$C$7:$C$1495,0),0)))</f>
        <v>Unit</v>
      </c>
      <c r="F26" s="455">
        <f>F22*1</f>
        <v>2</v>
      </c>
      <c r="G26" s="307">
        <f ca="1">IF(ISERROR(OFFSET('HARGA SATUAN'!$I$6,MATCH(RAB!C26,'HARGA SATUAN'!$C$7:$C$1495,0),0)),0,OFFSET('HARGA SATUAN'!$I$6,MATCH(RAB!C26,'HARGA SATUAN'!$C$7:$C$1495,0),0))</f>
        <v>16200</v>
      </c>
      <c r="H26" s="308">
        <f t="shared" ca="1" si="9"/>
        <v>0</v>
      </c>
      <c r="I26" s="308">
        <f t="shared" ca="1" si="10"/>
        <v>0</v>
      </c>
      <c r="J26" s="308">
        <f t="shared" ca="1" si="11"/>
        <v>32400</v>
      </c>
      <c r="K26" s="309">
        <f t="shared" ca="1" si="12"/>
        <v>32400</v>
      </c>
      <c r="L26" s="316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/>
      <c r="C27" s="319"/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/>
      </c>
      <c r="F27" s="455"/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ref="H27:H40" ca="1" si="13">IF(OR(D27="MDU",D27="MDU-KD"),(IF($O$3="RAB NON MDU","PLN KD",G27*F27)),0)</f>
        <v>0</v>
      </c>
      <c r="I27" s="308">
        <f t="shared" ref="I27:I40" ca="1" si="14">IF(D27="HDW",G27*F27,0)</f>
        <v>0</v>
      </c>
      <c r="J27" s="308">
        <f t="shared" ref="J27:J40" ca="1" si="15">IF(D27="JASA",G27*F27,0)</f>
        <v>0</v>
      </c>
      <c r="K27" s="309">
        <f t="shared" ref="K27:K40" ca="1" si="16">SUM(H27:J27)</f>
        <v>0</v>
      </c>
      <c r="L27" s="316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4" t="s">
        <v>1035</v>
      </c>
      <c r="C28" s="465" t="s">
        <v>1613</v>
      </c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>Unit</v>
      </c>
      <c r="F28" s="455">
        <v>6</v>
      </c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ca="1" si="13"/>
        <v>0</v>
      </c>
      <c r="I28" s="308">
        <f t="shared" ca="1" si="14"/>
        <v>0</v>
      </c>
      <c r="J28" s="308">
        <f t="shared" ca="1" si="15"/>
        <v>0</v>
      </c>
      <c r="K28" s="309">
        <f t="shared" ca="1" si="16"/>
        <v>0</v>
      </c>
      <c r="L28" s="316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4">
        <v>1</v>
      </c>
      <c r="C29" s="465" t="s">
        <v>595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5">
        <f>F28*1</f>
        <v>6</v>
      </c>
      <c r="G29" s="307">
        <f ca="1">IF(ISERROR(OFFSET('HARGA SATUAN'!$I$6,MATCH(RAB!C29,'HARGA SATUAN'!$C$7:$C$1495,0),0)),0,OFFSET('HARGA SATUAN'!$I$6,MATCH(RAB!C29,'HARGA SATUAN'!$C$7:$C$1495,0),0))</f>
        <v>78500</v>
      </c>
      <c r="H29" s="308">
        <f t="shared" ca="1" si="13"/>
        <v>0</v>
      </c>
      <c r="I29" s="308">
        <f t="shared" ca="1" si="14"/>
        <v>471000</v>
      </c>
      <c r="J29" s="308">
        <f t="shared" ca="1" si="15"/>
        <v>0</v>
      </c>
      <c r="K29" s="309">
        <f t="shared" ca="1" si="16"/>
        <v>471000</v>
      </c>
      <c r="L29" s="316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4">
        <v>2</v>
      </c>
      <c r="C30" s="465" t="s">
        <v>229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5">
        <f>F28*1</f>
        <v>6</v>
      </c>
      <c r="G30" s="307">
        <f ca="1">IF(ISERROR(OFFSET('HARGA SATUAN'!$I$6,MATCH(RAB!C30,'HARGA SATUAN'!$C$7:$C$1495,0),0)),0,OFFSET('HARGA SATUAN'!$I$6,MATCH(RAB!C30,'HARGA SATUAN'!$C$7:$C$1495,0),0))</f>
        <v>4212</v>
      </c>
      <c r="H30" s="308">
        <f t="shared" ca="1" si="13"/>
        <v>0</v>
      </c>
      <c r="I30" s="308">
        <f t="shared" ca="1" si="14"/>
        <v>25272</v>
      </c>
      <c r="J30" s="308">
        <f t="shared" ca="1" si="15"/>
        <v>0</v>
      </c>
      <c r="K30" s="309">
        <f t="shared" ca="1" si="16"/>
        <v>25272</v>
      </c>
      <c r="L30" s="316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51">
        <v>3</v>
      </c>
      <c r="C31" s="452" t="s">
        <v>266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55">
        <f>F28*1</f>
        <v>6</v>
      </c>
      <c r="G31" s="307">
        <f ca="1">IF(ISERROR(OFFSET('HARGA SATUAN'!$I$6,MATCH(RAB!C31,'HARGA SATUAN'!$C$7:$C$1495,0),0)),0,OFFSET('HARGA SATUAN'!$I$6,MATCH(RAB!C31,'HARGA SATUAN'!$C$7:$C$1495,0),0))</f>
        <v>23310</v>
      </c>
      <c r="H31" s="308">
        <f t="shared" ca="1" si="13"/>
        <v>0</v>
      </c>
      <c r="I31" s="308">
        <f t="shared" ca="1" si="14"/>
        <v>139860</v>
      </c>
      <c r="J31" s="308">
        <f t="shared" ca="1" si="15"/>
        <v>0</v>
      </c>
      <c r="K31" s="309">
        <f t="shared" ca="1" si="16"/>
        <v>139860</v>
      </c>
      <c r="L31" s="316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53">
        <v>4</v>
      </c>
      <c r="C32" s="454" t="s">
        <v>35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5">
        <f>F28*1</f>
        <v>6</v>
      </c>
      <c r="G32" s="307">
        <f ca="1">IF(ISERROR(OFFSET('HARGA SATUAN'!$I$6,MATCH(RAB!C32,'HARGA SATUAN'!$C$7:$C$1495,0),0)),0,OFFSET('HARGA SATUAN'!$I$6,MATCH(RAB!C32,'HARGA SATUAN'!$C$7:$C$1495,0),0))</f>
        <v>2300</v>
      </c>
      <c r="H32" s="308">
        <f t="shared" ca="1" si="13"/>
        <v>0</v>
      </c>
      <c r="I32" s="308">
        <f t="shared" ca="1" si="14"/>
        <v>13800</v>
      </c>
      <c r="J32" s="308">
        <f t="shared" ca="1" si="15"/>
        <v>0</v>
      </c>
      <c r="K32" s="309">
        <f t="shared" ca="1" si="16"/>
        <v>13800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53">
        <v>5</v>
      </c>
      <c r="C33" s="467" t="s">
        <v>630</v>
      </c>
      <c r="D33" s="305" t="str">
        <f ca="1">IF(ISERROR(OFFSET('HARGA SATUAN'!$D$6,MATCH(RAB!C33,'HARGA SATUAN'!$C$7:$C$1495,0),0)),"",OFFSET('HARGA SATUAN'!$D$6,MATCH(RAB!C33,'HARGA SATUAN'!$C$7:$C$1495,0),0))</f>
        <v>JASA</v>
      </c>
      <c r="E33" s="306" t="str">
        <f ca="1">IF(B33="+","Unit",IF(ISERROR(OFFSET('HARGA SATUAN'!$E$6,MATCH(RAB!C33,'HARGA SATUAN'!$C$7:$C$1495,0),0)),"",OFFSET('HARGA SATUAN'!$E$6,MATCH(RAB!C33,'HARGA SATUAN'!$C$7:$C$1495,0),0)))</f>
        <v>Unit</v>
      </c>
      <c r="F33" s="455">
        <f>F28*1</f>
        <v>6</v>
      </c>
      <c r="G33" s="307">
        <f ca="1">IF(ISERROR(OFFSET('HARGA SATUAN'!$I$6,MATCH(RAB!C33,'HARGA SATUAN'!$C$7:$C$1495,0),0)),0,OFFSET('HARGA SATUAN'!$I$6,MATCH(RAB!C33,'HARGA SATUAN'!$C$7:$C$1495,0),0))</f>
        <v>35700</v>
      </c>
      <c r="H33" s="308">
        <f t="shared" ca="1" si="13"/>
        <v>0</v>
      </c>
      <c r="I33" s="308">
        <f t="shared" ca="1" si="14"/>
        <v>0</v>
      </c>
      <c r="J33" s="308">
        <f t="shared" ca="1" si="15"/>
        <v>214200</v>
      </c>
      <c r="K33" s="309">
        <f t="shared" ca="1" si="16"/>
        <v>214200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4"/>
      <c r="C34" s="465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5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13"/>
        <v>0</v>
      </c>
      <c r="I34" s="308">
        <f t="shared" ca="1" si="14"/>
        <v>0</v>
      </c>
      <c r="J34" s="308">
        <f t="shared" ca="1" si="15"/>
        <v>0</v>
      </c>
      <c r="K34" s="309">
        <f t="shared" ca="1" si="16"/>
        <v>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20" t="s">
        <v>1035</v>
      </c>
      <c r="C35" s="721" t="s">
        <v>1629</v>
      </c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>Unit</v>
      </c>
      <c r="F35" s="455">
        <v>1</v>
      </c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13"/>
        <v>0</v>
      </c>
      <c r="I35" s="308">
        <f t="shared" ca="1" si="14"/>
        <v>0</v>
      </c>
      <c r="J35" s="308">
        <f t="shared" ca="1" si="15"/>
        <v>0</v>
      </c>
      <c r="K35" s="309">
        <f t="shared" ca="1" si="16"/>
        <v>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20">
        <v>1</v>
      </c>
      <c r="C36" s="721" t="s">
        <v>229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5">
        <f>F35*1</f>
        <v>1</v>
      </c>
      <c r="G36" s="307">
        <f ca="1">IF(ISERROR(OFFSET('HARGA SATUAN'!$I$6,MATCH(RAB!C36,'HARGA SATUAN'!$C$7:$C$1495,0),0)),0,OFFSET('HARGA SATUAN'!$I$6,MATCH(RAB!C36,'HARGA SATUAN'!$C$7:$C$1495,0),0))</f>
        <v>4212</v>
      </c>
      <c r="H36" s="308">
        <f t="shared" ca="1" si="13"/>
        <v>0</v>
      </c>
      <c r="I36" s="308">
        <f t="shared" ca="1" si="14"/>
        <v>4212</v>
      </c>
      <c r="J36" s="308">
        <f t="shared" ca="1" si="15"/>
        <v>0</v>
      </c>
      <c r="K36" s="309">
        <f t="shared" ca="1" si="16"/>
        <v>4212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20">
        <v>2</v>
      </c>
      <c r="C37" s="721" t="s">
        <v>266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Mtr</v>
      </c>
      <c r="F37" s="455">
        <f>F35*1</f>
        <v>1</v>
      </c>
      <c r="G37" s="307">
        <f ca="1">IF(ISERROR(OFFSET('HARGA SATUAN'!$I$6,MATCH(RAB!C37,'HARGA SATUAN'!$C$7:$C$1495,0),0)),0,OFFSET('HARGA SATUAN'!$I$6,MATCH(RAB!C37,'HARGA SATUAN'!$C$7:$C$1495,0),0))</f>
        <v>23310</v>
      </c>
      <c r="H37" s="308">
        <f t="shared" ca="1" si="13"/>
        <v>0</v>
      </c>
      <c r="I37" s="308">
        <f t="shared" ca="1" si="14"/>
        <v>23310</v>
      </c>
      <c r="J37" s="308">
        <f t="shared" ca="1" si="15"/>
        <v>0</v>
      </c>
      <c r="K37" s="309">
        <f t="shared" ca="1" si="16"/>
        <v>23310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20">
        <v>3</v>
      </c>
      <c r="C38" s="721" t="s">
        <v>35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5">
        <f>F35*1</f>
        <v>1</v>
      </c>
      <c r="G38" s="307">
        <f ca="1">IF(ISERROR(OFFSET('HARGA SATUAN'!$I$6,MATCH(RAB!C38,'HARGA SATUAN'!$C$7:$C$1495,0),0)),0,OFFSET('HARGA SATUAN'!$I$6,MATCH(RAB!C38,'HARGA SATUAN'!$C$7:$C$1495,0),0))</f>
        <v>2300</v>
      </c>
      <c r="H38" s="308">
        <f t="shared" ca="1" si="13"/>
        <v>0</v>
      </c>
      <c r="I38" s="308">
        <f t="shared" ca="1" si="14"/>
        <v>2300</v>
      </c>
      <c r="J38" s="308">
        <f t="shared" ca="1" si="15"/>
        <v>0</v>
      </c>
      <c r="K38" s="309">
        <f t="shared" ca="1" si="16"/>
        <v>2300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20">
        <v>4</v>
      </c>
      <c r="C39" s="721" t="s">
        <v>609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5">
        <f>F35*1</f>
        <v>1</v>
      </c>
      <c r="G39" s="307">
        <f ca="1">IF(ISERROR(OFFSET('HARGA SATUAN'!$I$6,MATCH(RAB!C39,'HARGA SATUAN'!$C$7:$C$1495,0),0)),0,OFFSET('HARGA SATUAN'!$I$6,MATCH(RAB!C39,'HARGA SATUAN'!$C$7:$C$1495,0),0))</f>
        <v>71000</v>
      </c>
      <c r="H39" s="308">
        <f t="shared" ca="1" si="13"/>
        <v>0</v>
      </c>
      <c r="I39" s="308">
        <f t="shared" ca="1" si="14"/>
        <v>71000</v>
      </c>
      <c r="J39" s="308">
        <f t="shared" ca="1" si="15"/>
        <v>0</v>
      </c>
      <c r="K39" s="309">
        <f t="shared" ca="1" si="16"/>
        <v>71000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20">
        <v>5</v>
      </c>
      <c r="C40" s="721" t="s">
        <v>629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5">
        <f>F35*1</f>
        <v>1</v>
      </c>
      <c r="G40" s="307">
        <f ca="1">IF(ISERROR(OFFSET('HARGA SATUAN'!$I$6,MATCH(RAB!C40,'HARGA SATUAN'!$C$7:$C$1495,0),0)),0,OFFSET('HARGA SATUAN'!$I$6,MATCH(RAB!C40,'HARGA SATUAN'!$C$7:$C$1495,0),0))</f>
        <v>29400</v>
      </c>
      <c r="H40" s="308">
        <f t="shared" ca="1" si="13"/>
        <v>0</v>
      </c>
      <c r="I40" s="308">
        <f t="shared" ca="1" si="14"/>
        <v>0</v>
      </c>
      <c r="J40" s="308">
        <f t="shared" ca="1" si="15"/>
        <v>29400</v>
      </c>
      <c r="K40" s="309">
        <f t="shared" ca="1" si="16"/>
        <v>29400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318"/>
      <c r="C41" s="319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20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21">
        <v>10</v>
      </c>
      <c r="C42" s="418" t="s">
        <v>1616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7"/>
      <c r="G42" s="307">
        <f ca="1">IF(ISERROR(OFFSET('HARGA SATUAN'!$I$6,MATCH(RAB!C42,'HARGA SATUAN'!$C$7:$C$1495,0),0)),0,OFFSET('HARGA SATUAN'!$I$6,MATCH(RAB!C42,'HARGA SATUAN'!$C$7:$C$1495,0),0))</f>
        <v>49000</v>
      </c>
      <c r="H42" s="308">
        <f t="shared" ref="H42:H62" ca="1" si="17">IF(OR(D42="MDU",D42="MDU-KD"),(IF($O$3="RAB NON MDU","PLN KD",G42*F42)),0)</f>
        <v>0</v>
      </c>
      <c r="I42" s="308">
        <f t="shared" ref="I42:I62" ca="1" si="18">IF(D42="HDW",G42*F42,0)</f>
        <v>0</v>
      </c>
      <c r="J42" s="308">
        <f t="shared" ref="J42:J62" ca="1" si="19">IF(D42="JASA",G42*F42,0)</f>
        <v>0</v>
      </c>
      <c r="K42" s="309">
        <f t="shared" ref="K42:K62" ca="1" si="20">SUM(H42:J42)</f>
        <v>0</v>
      </c>
      <c r="L42" s="316"/>
      <c r="M42" s="289" t="e">
        <f>IF(AND(F42&gt;0,#REF!=0),"",IF(AND(ISBLANK(F42)=FALSE,K42=0),"WARNING",""))</f>
        <v>#REF!</v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49"/>
      <c r="C43" s="450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7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7"/>
        <v>0</v>
      </c>
      <c r="I43" s="308">
        <f t="shared" ca="1" si="18"/>
        <v>0</v>
      </c>
      <c r="J43" s="308">
        <f t="shared" ca="1" si="19"/>
        <v>0</v>
      </c>
      <c r="K43" s="309">
        <f t="shared" ca="1" si="20"/>
        <v>0</v>
      </c>
      <c r="L43" s="316"/>
      <c r="M43" s="289" t="str">
        <f t="shared" ref="M43:M83" ca="1" si="21">IF(AND(F43&gt;0,F42=0),"",IF(AND(ISBLANK(F43)=FALSE,K43=0),"WARNING",""))</f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49"/>
      <c r="C44" s="450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7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17"/>
        <v>0</v>
      </c>
      <c r="I44" s="308">
        <f t="shared" ca="1" si="18"/>
        <v>0</v>
      </c>
      <c r="J44" s="308">
        <f t="shared" ca="1" si="19"/>
        <v>0</v>
      </c>
      <c r="K44" s="309">
        <f t="shared" ca="1" si="20"/>
        <v>0</v>
      </c>
      <c r="L44" s="316"/>
      <c r="M44" s="289" t="str">
        <f t="shared" ca="1" si="21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49"/>
      <c r="C45" s="450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7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7"/>
        <v>0</v>
      </c>
      <c r="I45" s="308">
        <f t="shared" ca="1" si="18"/>
        <v>0</v>
      </c>
      <c r="J45" s="308">
        <f t="shared" ca="1" si="19"/>
        <v>0</v>
      </c>
      <c r="K45" s="309">
        <f t="shared" ca="1" si="20"/>
        <v>0</v>
      </c>
      <c r="L45" s="316"/>
      <c r="M45" s="289" t="str">
        <f t="shared" ca="1" si="21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49"/>
      <c r="C46" s="450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7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7"/>
        <v>0</v>
      </c>
      <c r="I46" s="308">
        <f t="shared" ca="1" si="18"/>
        <v>0</v>
      </c>
      <c r="J46" s="308">
        <f t="shared" ca="1" si="19"/>
        <v>0</v>
      </c>
      <c r="K46" s="309">
        <f t="shared" ca="1" si="20"/>
        <v>0</v>
      </c>
      <c r="L46" s="316"/>
      <c r="M46" s="289" t="str">
        <f t="shared" ca="1" si="21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49"/>
      <c r="C47" s="450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7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7"/>
        <v>0</v>
      </c>
      <c r="I47" s="308">
        <f t="shared" ca="1" si="18"/>
        <v>0</v>
      </c>
      <c r="J47" s="308">
        <f t="shared" ca="1" si="19"/>
        <v>0</v>
      </c>
      <c r="K47" s="309">
        <f t="shared" ca="1" si="20"/>
        <v>0</v>
      </c>
      <c r="L47" s="316"/>
      <c r="M47" s="289" t="str">
        <f t="shared" ca="1" si="21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49"/>
      <c r="C48" s="450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7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7"/>
        <v>0</v>
      </c>
      <c r="I48" s="308">
        <f t="shared" ca="1" si="18"/>
        <v>0</v>
      </c>
      <c r="J48" s="308">
        <f t="shared" ca="1" si="19"/>
        <v>0</v>
      </c>
      <c r="K48" s="309">
        <f t="shared" ca="1" si="20"/>
        <v>0</v>
      </c>
      <c r="L48" s="316"/>
      <c r="M48" s="289" t="str">
        <f t="shared" ca="1" si="21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7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7"/>
        <v>0</v>
      </c>
      <c r="I49" s="308">
        <f t="shared" ca="1" si="18"/>
        <v>0</v>
      </c>
      <c r="J49" s="308">
        <f t="shared" ca="1" si="19"/>
        <v>0</v>
      </c>
      <c r="K49" s="309">
        <f t="shared" ca="1" si="20"/>
        <v>0</v>
      </c>
      <c r="L49" s="316"/>
      <c r="M49" s="289" t="str">
        <f t="shared" ca="1" si="21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7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7"/>
        <v>0</v>
      </c>
      <c r="I50" s="308">
        <f t="shared" ca="1" si="18"/>
        <v>0</v>
      </c>
      <c r="J50" s="308">
        <f t="shared" ca="1" si="19"/>
        <v>0</v>
      </c>
      <c r="K50" s="309">
        <f t="shared" ca="1" si="20"/>
        <v>0</v>
      </c>
      <c r="L50" s="316"/>
      <c r="M50" s="289" t="str">
        <f t="shared" ca="1" si="21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7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7"/>
        <v>0</v>
      </c>
      <c r="I51" s="308">
        <f t="shared" ca="1" si="18"/>
        <v>0</v>
      </c>
      <c r="J51" s="308">
        <f t="shared" ca="1" si="19"/>
        <v>0</v>
      </c>
      <c r="K51" s="309">
        <f t="shared" ca="1" si="20"/>
        <v>0</v>
      </c>
      <c r="L51" s="316"/>
      <c r="M51" s="289" t="str">
        <f t="shared" ca="1" si="21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7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7"/>
        <v>0</v>
      </c>
      <c r="I52" s="308">
        <f t="shared" ca="1" si="18"/>
        <v>0</v>
      </c>
      <c r="J52" s="308">
        <f t="shared" ca="1" si="19"/>
        <v>0</v>
      </c>
      <c r="K52" s="309">
        <f t="shared" ca="1" si="20"/>
        <v>0</v>
      </c>
      <c r="L52" s="316"/>
      <c r="M52" s="289" t="str">
        <f t="shared" ca="1" si="21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7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7"/>
        <v>0</v>
      </c>
      <c r="I53" s="308">
        <f t="shared" ca="1" si="18"/>
        <v>0</v>
      </c>
      <c r="J53" s="308">
        <f t="shared" ca="1" si="19"/>
        <v>0</v>
      </c>
      <c r="K53" s="309">
        <f t="shared" ca="1" si="20"/>
        <v>0</v>
      </c>
      <c r="L53" s="316"/>
      <c r="M53" s="289" t="str">
        <f t="shared" ca="1" si="21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7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7"/>
        <v>0</v>
      </c>
      <c r="I54" s="308">
        <f t="shared" ca="1" si="18"/>
        <v>0</v>
      </c>
      <c r="J54" s="308">
        <f t="shared" ca="1" si="19"/>
        <v>0</v>
      </c>
      <c r="K54" s="309">
        <f t="shared" ca="1" si="20"/>
        <v>0</v>
      </c>
      <c r="L54" s="316"/>
      <c r="M54" s="289" t="str">
        <f t="shared" ca="1" si="21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7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7"/>
        <v>0</v>
      </c>
      <c r="I55" s="308">
        <f t="shared" ca="1" si="18"/>
        <v>0</v>
      </c>
      <c r="J55" s="308">
        <f t="shared" ca="1" si="19"/>
        <v>0</v>
      </c>
      <c r="K55" s="309">
        <f t="shared" ca="1" si="20"/>
        <v>0</v>
      </c>
      <c r="L55" s="316"/>
      <c r="M55" s="289" t="str">
        <f t="shared" ca="1" si="21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7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7"/>
        <v>0</v>
      </c>
      <c r="I56" s="308">
        <f t="shared" ca="1" si="18"/>
        <v>0</v>
      </c>
      <c r="J56" s="308">
        <f t="shared" ca="1" si="19"/>
        <v>0</v>
      </c>
      <c r="K56" s="309">
        <f t="shared" ca="1" si="20"/>
        <v>0</v>
      </c>
      <c r="L56" s="316"/>
      <c r="M56" s="289" t="str">
        <f t="shared" ca="1" si="21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7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7"/>
        <v>0</v>
      </c>
      <c r="I57" s="308">
        <f t="shared" ca="1" si="18"/>
        <v>0</v>
      </c>
      <c r="J57" s="308">
        <f t="shared" ca="1" si="19"/>
        <v>0</v>
      </c>
      <c r="K57" s="309">
        <f t="shared" ca="1" si="20"/>
        <v>0</v>
      </c>
      <c r="L57" s="316"/>
      <c r="M57" s="289" t="str">
        <f t="shared" ca="1" si="21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7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7"/>
        <v>0</v>
      </c>
      <c r="I58" s="308">
        <f t="shared" ca="1" si="18"/>
        <v>0</v>
      </c>
      <c r="J58" s="308">
        <f t="shared" ca="1" si="19"/>
        <v>0</v>
      </c>
      <c r="K58" s="309">
        <f t="shared" ca="1" si="20"/>
        <v>0</v>
      </c>
      <c r="L58" s="316"/>
      <c r="M58" s="289" t="str">
        <f t="shared" ca="1" si="21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7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7"/>
        <v>0</v>
      </c>
      <c r="I59" s="308">
        <f t="shared" ca="1" si="18"/>
        <v>0</v>
      </c>
      <c r="J59" s="308">
        <f t="shared" ca="1" si="19"/>
        <v>0</v>
      </c>
      <c r="K59" s="309">
        <f t="shared" ca="1" si="20"/>
        <v>0</v>
      </c>
      <c r="L59" s="316"/>
      <c r="M59" s="289" t="str">
        <f t="shared" ca="1" si="21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7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7"/>
        <v>0</v>
      </c>
      <c r="I60" s="308">
        <f t="shared" ca="1" si="18"/>
        <v>0</v>
      </c>
      <c r="J60" s="308">
        <f t="shared" ca="1" si="19"/>
        <v>0</v>
      </c>
      <c r="K60" s="309">
        <f t="shared" ca="1" si="20"/>
        <v>0</v>
      </c>
      <c r="L60" s="316"/>
      <c r="M60" s="289" t="str">
        <f t="shared" ca="1" si="21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9"/>
      <c r="C61" s="45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7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7"/>
        <v>0</v>
      </c>
      <c r="I61" s="308">
        <f t="shared" ca="1" si="18"/>
        <v>0</v>
      </c>
      <c r="J61" s="308">
        <f t="shared" ca="1" si="19"/>
        <v>0</v>
      </c>
      <c r="K61" s="309">
        <f t="shared" ca="1" si="20"/>
        <v>0</v>
      </c>
      <c r="L61" s="316"/>
      <c r="M61" s="289" t="str">
        <f t="shared" ca="1" si="21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9"/>
      <c r="C62" s="45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7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7"/>
        <v>0</v>
      </c>
      <c r="I62" s="308">
        <f t="shared" ca="1" si="18"/>
        <v>0</v>
      </c>
      <c r="J62" s="308">
        <f t="shared" ca="1" si="19"/>
        <v>0</v>
      </c>
      <c r="K62" s="309">
        <f t="shared" ca="1" si="20"/>
        <v>0</v>
      </c>
      <c r="L62" s="316"/>
      <c r="M62" s="289" t="str">
        <f t="shared" ca="1" si="21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19" t="s">
        <v>1602</v>
      </c>
      <c r="C63" s="422" t="s">
        <v>1604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ref="H63:H64" ca="1" si="22">IF(OR(D63="MDU",D63="MDU-KD"),(IF($O$3="RAB NON MDU","PLN KD",G63*F63)),0)</f>
        <v>0</v>
      </c>
      <c r="I63" s="308">
        <f t="shared" ref="I63:I64" ca="1" si="23">IF(D63="HDW",G63*F63,0)</f>
        <v>0</v>
      </c>
      <c r="J63" s="308">
        <f t="shared" ref="J63:J64" ca="1" si="24">IF(D63="JASA",G63*F63,0)</f>
        <v>0</v>
      </c>
      <c r="K63" s="309">
        <f t="shared" ref="K63:K64" ca="1" si="25">SUM(H63:J63)</f>
        <v>0</v>
      </c>
      <c r="L63" s="316"/>
      <c r="M63" s="289" t="str">
        <f t="shared" ca="1" si="21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318">
        <v>1</v>
      </c>
      <c r="C64" s="109" t="s">
        <v>1457</v>
      </c>
      <c r="D64" s="305" t="str">
        <f ca="1">IF(ISERROR(OFFSET('HARGA SATUAN'!$D$6,MATCH(RAB!C64,'HARGA SATUAN'!$C$7:$C$1495,0),0)),"",OFFSET('HARGA SATUAN'!$D$6,MATCH(RAB!C64,'HARGA SATUAN'!$C$7:$C$1495,0),0))</f>
        <v>MDU-KD</v>
      </c>
      <c r="E64" s="306" t="str">
        <f ca="1">IF(B64="+","Unit",IF(ISERROR(OFFSET('HARGA SATUAN'!$E$6,MATCH(RAB!C64,'HARGA SATUAN'!$C$7:$C$1495,0),0)),"",OFFSET('HARGA SATUAN'!$E$6,MATCH(RAB!C64,'HARGA SATUAN'!$C$7:$C$1495,0),0)))</f>
        <v>Mtr</v>
      </c>
      <c r="F64" s="420">
        <v>170</v>
      </c>
      <c r="G64" s="307">
        <f ca="1">IF(ISERROR(OFFSET('HARGA SATUAN'!$I$6,MATCH(RAB!C64,'HARGA SATUAN'!$C$7:$C$1495,0),0)),0,OFFSET('HARGA SATUAN'!$I$6,MATCH(RAB!C64,'HARGA SATUAN'!$C$7:$C$1495,0),0))</f>
        <v>54500</v>
      </c>
      <c r="H64" s="308">
        <f t="shared" ca="1" si="22"/>
        <v>9265000</v>
      </c>
      <c r="I64" s="308">
        <f t="shared" ca="1" si="23"/>
        <v>0</v>
      </c>
      <c r="J64" s="308">
        <f t="shared" ca="1" si="24"/>
        <v>0</v>
      </c>
      <c r="K64" s="309">
        <f t="shared" ca="1" si="25"/>
        <v>9265000</v>
      </c>
      <c r="L64" s="316"/>
      <c r="M64" s="289" t="str">
        <f t="shared" si="21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318">
        <v>2</v>
      </c>
      <c r="C65" s="109" t="s">
        <v>346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Per 50 m</v>
      </c>
      <c r="F65" s="420">
        <v>3.4</v>
      </c>
      <c r="G65" s="307">
        <f ca="1">IF(ISERROR(OFFSET('HARGA SATUAN'!$I$6,MATCH(RAB!C65,'HARGA SATUAN'!$C$7:$C$1495,0),0)),0,OFFSET('HARGA SATUAN'!$I$6,MATCH(RAB!C65,'HARGA SATUAN'!$C$7:$C$1495,0),0))</f>
        <v>223500</v>
      </c>
      <c r="H65" s="308">
        <f t="shared" ref="H65:H67" ca="1" si="26">IF(OR(D65="MDU",D65="MDU-KD"),(IF($O$3="RAB NON MDU","PLN KD",G65*F65)),0)</f>
        <v>0</v>
      </c>
      <c r="I65" s="308">
        <f t="shared" ref="I65:I67" ca="1" si="27">IF(D65="HDW",G65*F65,0)</f>
        <v>0</v>
      </c>
      <c r="J65" s="308">
        <f t="shared" ref="J65:J67" ca="1" si="28">IF(D65="JASA",G65*F65,0)</f>
        <v>759900</v>
      </c>
      <c r="K65" s="309">
        <f t="shared" ref="K65:K67" ca="1" si="29">SUM(H65:J65)</f>
        <v>759900</v>
      </c>
      <c r="L65" s="316"/>
      <c r="M65" s="289" t="str">
        <f t="shared" ca="1" si="21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318">
        <v>3</v>
      </c>
      <c r="C66" s="319" t="s">
        <v>1099</v>
      </c>
      <c r="D66" s="305" t="str">
        <f ca="1">IF(ISERROR(OFFSET('HARGA SATUAN'!$D$6,MATCH(RAB!C66,'HARGA SATUAN'!$C$7:$C$1495,0),0)),"",OFFSET('HARGA SATUAN'!$D$6,MATCH(RAB!C66,'HARGA SATUAN'!$C$7:$C$1495,0),0))</f>
        <v>JASA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420">
        <v>3</v>
      </c>
      <c r="G66" s="307">
        <f ca="1">IF(ISERROR(OFFSET('HARGA SATUAN'!$I$6,MATCH(RAB!C66,'HARGA SATUAN'!$C$7:$C$1495,0),0)),0,OFFSET('HARGA SATUAN'!$I$6,MATCH(RAB!C66,'HARGA SATUAN'!$C$7:$C$1495,0),0))</f>
        <v>13770</v>
      </c>
      <c r="H66" s="308">
        <f t="shared" ca="1" si="26"/>
        <v>0</v>
      </c>
      <c r="I66" s="308">
        <f t="shared" ca="1" si="27"/>
        <v>0</v>
      </c>
      <c r="J66" s="308">
        <f t="shared" ca="1" si="28"/>
        <v>41310</v>
      </c>
      <c r="K66" s="309">
        <f t="shared" ca="1" si="29"/>
        <v>41310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>
        <v>4</v>
      </c>
      <c r="C67" s="319" t="s">
        <v>1154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Set</v>
      </c>
      <c r="F67" s="420">
        <v>1</v>
      </c>
      <c r="G67" s="307">
        <f ca="1">IF(ISERROR(OFFSET('HARGA SATUAN'!$I$6,MATCH(RAB!C67,'HARGA SATUAN'!$C$7:$C$1495,0),0)),0,OFFSET('HARGA SATUAN'!$I$6,MATCH(RAB!C67,'HARGA SATUAN'!$C$7:$C$1495,0),0))</f>
        <v>2900</v>
      </c>
      <c r="H67" s="308">
        <f t="shared" ca="1" si="26"/>
        <v>0</v>
      </c>
      <c r="I67" s="308">
        <f t="shared" ca="1" si="27"/>
        <v>2900</v>
      </c>
      <c r="J67" s="308">
        <f t="shared" ca="1" si="28"/>
        <v>0</v>
      </c>
      <c r="K67" s="309">
        <f t="shared" ca="1" si="29"/>
        <v>2900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ref="H68:H84" ca="1" si="30">IF(OR(D68="MDU",D68="MDU-KD"),(IF($O$3="RAB NON MDU","PLN KD",G68*F68)),0)</f>
        <v>0</v>
      </c>
      <c r="I68" s="308">
        <f t="shared" ref="I68:I84" ca="1" si="31">IF(D68="HDW",G68*F68,0)</f>
        <v>0</v>
      </c>
      <c r="J68" s="308">
        <f t="shared" ref="J68:J84" ca="1" si="32">IF(D68="JASA",G68*F68,0)</f>
        <v>0</v>
      </c>
      <c r="K68" s="309">
        <f t="shared" ref="K68:K84" ca="1" si="33">SUM(H68:J68)</f>
        <v>0</v>
      </c>
      <c r="L68" s="316"/>
      <c r="M68" s="289" t="e">
        <f>IF(AND(F68&gt;0,#REF!=0),"",IF(AND(ISBLANK(F68)=FALSE,K68=0),"WARNING",""))</f>
        <v>#REF!</v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419" t="s">
        <v>1609</v>
      </c>
      <c r="C69" s="422" t="s">
        <v>1606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9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3" ca="1" si="34">IF(OR(D69="MDU",D69="MDU-KD"),(IF($O$3="RAB NON MDU","PLN KD",G69*F69)),0)</f>
        <v>0</v>
      </c>
      <c r="I69" s="308">
        <f t="shared" ref="I69:I83" ca="1" si="35">IF(D69="HDW",G69*F69,0)</f>
        <v>0</v>
      </c>
      <c r="J69" s="308">
        <f t="shared" ref="J69:J83" ca="1" si="36">IF(D69="JASA",G69*F69,0)</f>
        <v>0</v>
      </c>
      <c r="K69" s="309">
        <f t="shared" ref="K69:K83" ca="1" si="37">SUM(H69:J69)</f>
        <v>0</v>
      </c>
      <c r="L69" s="316"/>
      <c r="M69" s="289" t="str">
        <f t="shared" ca="1" si="21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68" t="s">
        <v>1035</v>
      </c>
      <c r="C70" s="469" t="s">
        <v>1634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>Unit</v>
      </c>
      <c r="F70" s="723">
        <v>16</v>
      </c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34"/>
        <v>0</v>
      </c>
      <c r="I70" s="308">
        <f t="shared" ca="1" si="35"/>
        <v>0</v>
      </c>
      <c r="J70" s="308">
        <f t="shared" ca="1" si="36"/>
        <v>0</v>
      </c>
      <c r="K70" s="309">
        <f t="shared" ca="1" si="37"/>
        <v>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20">
        <v>1</v>
      </c>
      <c r="C71" s="109" t="s">
        <v>482</v>
      </c>
      <c r="D71" s="305" t="str">
        <f ca="1">IF(ISERROR(OFFSET('HARGA SATUAN'!$D$6,MATCH(RAB!C71,'HARGA SATUAN'!$C$7:$C$1495,0),0)),"",OFFSET('HARGA SATUAN'!$D$6,MATCH(RAB!C71,'HARGA SATUAN'!$C$7:$C$1495,0),0))</f>
        <v>MDU-KD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723">
        <f>F70*1</f>
        <v>16</v>
      </c>
      <c r="G71" s="307">
        <f ca="1">IF(ISERROR(OFFSET('HARGA SATUAN'!$I$6,MATCH(RAB!C71,'HARGA SATUAN'!$C$7:$C$1495,0),0)),0,OFFSET('HARGA SATUAN'!$I$6,MATCH(RAB!C71,'HARGA SATUAN'!$C$7:$C$1495,0),0))</f>
        <v>327600</v>
      </c>
      <c r="H71" s="308">
        <f t="shared" ca="1" si="34"/>
        <v>5241600</v>
      </c>
      <c r="I71" s="308">
        <f t="shared" ca="1" si="35"/>
        <v>0</v>
      </c>
      <c r="J71" s="308">
        <f t="shared" ca="1" si="36"/>
        <v>0</v>
      </c>
      <c r="K71" s="309">
        <f t="shared" ca="1" si="37"/>
        <v>5241600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20">
        <v>2</v>
      </c>
      <c r="C72" s="722" t="s">
        <v>486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723">
        <f>F70*1</f>
        <v>16</v>
      </c>
      <c r="G72" s="307">
        <f ca="1">IF(ISERROR(OFFSET('HARGA SATUAN'!$I$6,MATCH(RAB!C72,'HARGA SATUAN'!$C$7:$C$1495,0),0)),0,OFFSET('HARGA SATUAN'!$I$6,MATCH(RAB!C72,'HARGA SATUAN'!$C$7:$C$1495,0),0))</f>
        <v>39000</v>
      </c>
      <c r="H72" s="308">
        <f t="shared" ca="1" si="34"/>
        <v>624000</v>
      </c>
      <c r="I72" s="308">
        <f t="shared" ca="1" si="35"/>
        <v>0</v>
      </c>
      <c r="J72" s="308">
        <f t="shared" ca="1" si="36"/>
        <v>0</v>
      </c>
      <c r="K72" s="309">
        <f t="shared" ca="1" si="37"/>
        <v>624000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20">
        <v>3</v>
      </c>
      <c r="C73" s="722" t="s">
        <v>73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Mtr</v>
      </c>
      <c r="F73" s="723">
        <f>F70*35</f>
        <v>560</v>
      </c>
      <c r="G73" s="307">
        <f ca="1">IF(ISERROR(OFFSET('HARGA SATUAN'!$I$6,MATCH(RAB!C73,'HARGA SATUAN'!$C$7:$C$1495,0),0)),0,OFFSET('HARGA SATUAN'!$I$6,MATCH(RAB!C73,'HARGA SATUAN'!$C$7:$C$1495,0),0))</f>
        <v>4300</v>
      </c>
      <c r="H73" s="308">
        <f t="shared" ca="1" si="34"/>
        <v>2408000</v>
      </c>
      <c r="I73" s="308">
        <f t="shared" ca="1" si="35"/>
        <v>0</v>
      </c>
      <c r="J73" s="308">
        <f t="shared" ca="1" si="36"/>
        <v>0</v>
      </c>
      <c r="K73" s="309">
        <f t="shared" ca="1" si="37"/>
        <v>2408000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20">
        <v>4</v>
      </c>
      <c r="C74" s="722" t="s">
        <v>798</v>
      </c>
      <c r="D74" s="305" t="str">
        <f ca="1">IF(ISERROR(OFFSET('HARGA SATUAN'!$D$6,MATCH(RAB!C74,'HARGA SATUAN'!$C$7:$C$1495,0),0)),"",OFFSET('HARGA SATUAN'!$D$6,MATCH(RAB!C74,'HARGA SATUAN'!$C$7:$C$1495,0),0))</f>
        <v>JASA</v>
      </c>
      <c r="E74" s="306" t="str">
        <f ca="1">IF(B74="+","Unit",IF(ISERROR(OFFSET('HARGA SATUAN'!$E$6,MATCH(RAB!C74,'HARGA SATUAN'!$C$7:$C$1495,0),0)),"",OFFSET('HARGA SATUAN'!$E$6,MATCH(RAB!C74,'HARGA SATUAN'!$C$7:$C$1495,0),0)))</f>
        <v>Unit</v>
      </c>
      <c r="F74" s="723">
        <f>F70*1</f>
        <v>16</v>
      </c>
      <c r="G74" s="307">
        <f ca="1">IF(ISERROR(OFFSET('HARGA SATUAN'!$I$6,MATCH(RAB!C74,'HARGA SATUAN'!$C$7:$C$1495,0),0)),0,OFFSET('HARGA SATUAN'!$I$6,MATCH(RAB!C74,'HARGA SATUAN'!$C$7:$C$1495,0),0))</f>
        <v>54400</v>
      </c>
      <c r="H74" s="308">
        <f t="shared" ca="1" si="34"/>
        <v>0</v>
      </c>
      <c r="I74" s="308">
        <f t="shared" ca="1" si="35"/>
        <v>0</v>
      </c>
      <c r="J74" s="308">
        <f t="shared" ca="1" si="36"/>
        <v>870400</v>
      </c>
      <c r="K74" s="309">
        <f t="shared" ca="1" si="37"/>
        <v>870400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464"/>
      <c r="C75" s="470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66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ref="H75" ca="1" si="38">IF(OR(D75="MDU",D75="MDU-KD"),(IF($O$3="RAB NON MDU","PLN KD",G75*F75)),0)</f>
        <v>0</v>
      </c>
      <c r="I75" s="308">
        <f t="shared" ref="I75" ca="1" si="39">IF(D75="HDW",G75*F75,0)</f>
        <v>0</v>
      </c>
      <c r="J75" s="308">
        <f t="shared" ref="J75" ca="1" si="40">IF(D75="JASA",G75*F75,0)</f>
        <v>0</v>
      </c>
      <c r="K75" s="309">
        <f t="shared" ref="K75" ca="1" si="41">SUM(H75:J75)</f>
        <v>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/>
      <c r="C76" s="3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6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34"/>
        <v>0</v>
      </c>
      <c r="I76" s="308">
        <f t="shared" ca="1" si="35"/>
        <v>0</v>
      </c>
      <c r="J76" s="308">
        <f t="shared" ca="1" si="36"/>
        <v>0</v>
      </c>
      <c r="K76" s="309">
        <f t="shared" ca="1" si="37"/>
        <v>0</v>
      </c>
      <c r="L76" s="316"/>
      <c r="M76" s="289" t="str">
        <f ca="1">IF(AND(F76&gt;0,F69=0),"",IF(AND(ISBLANK(F76)=FALSE,K76=0),"WARNING",""))</f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 t="s">
        <v>1035</v>
      </c>
      <c r="C77" s="319" t="s">
        <v>1620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>Unit</v>
      </c>
      <c r="F77" s="455">
        <v>2</v>
      </c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4"/>
        <v>0</v>
      </c>
      <c r="I77" s="308">
        <f t="shared" ca="1" si="35"/>
        <v>0</v>
      </c>
      <c r="J77" s="308">
        <f t="shared" ca="1" si="36"/>
        <v>0</v>
      </c>
      <c r="K77" s="309">
        <f t="shared" ca="1" si="37"/>
        <v>0</v>
      </c>
      <c r="L77" s="316"/>
      <c r="M77" s="289" t="str">
        <f t="shared" si="21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1</v>
      </c>
      <c r="C78" s="319" t="s">
        <v>29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5">
        <f>F77*1</f>
        <v>2</v>
      </c>
      <c r="G78" s="307">
        <f ca="1">IF(ISERROR(OFFSET('HARGA SATUAN'!$I$6,MATCH(RAB!C78,'HARGA SATUAN'!$C$7:$C$1495,0),0)),0,OFFSET('HARGA SATUAN'!$I$6,MATCH(RAB!C78,'HARGA SATUAN'!$C$7:$C$1495,0),0))</f>
        <v>185200</v>
      </c>
      <c r="H78" s="308">
        <f t="shared" ca="1" si="34"/>
        <v>0</v>
      </c>
      <c r="I78" s="308">
        <f t="shared" ca="1" si="35"/>
        <v>370400</v>
      </c>
      <c r="J78" s="308">
        <f t="shared" ca="1" si="36"/>
        <v>0</v>
      </c>
      <c r="K78" s="309">
        <f t="shared" ca="1" si="37"/>
        <v>370400</v>
      </c>
      <c r="L78" s="316"/>
      <c r="M78" s="289" t="str">
        <f t="shared" ca="1" si="21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>
        <v>2</v>
      </c>
      <c r="C79" s="319" t="s">
        <v>30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55">
        <f>F77*1</f>
        <v>2</v>
      </c>
      <c r="G79" s="307">
        <f ca="1">IF(ISERROR(OFFSET('HARGA SATUAN'!$I$6,MATCH(RAB!C79,'HARGA SATUAN'!$C$7:$C$1495,0),0)),0,OFFSET('HARGA SATUAN'!$I$6,MATCH(RAB!C79,'HARGA SATUAN'!$C$7:$C$1495,0),0))</f>
        <v>47459</v>
      </c>
      <c r="H79" s="308">
        <f t="shared" ca="1" si="34"/>
        <v>0</v>
      </c>
      <c r="I79" s="308">
        <f t="shared" ca="1" si="35"/>
        <v>94918</v>
      </c>
      <c r="J79" s="308">
        <f t="shared" ca="1" si="36"/>
        <v>0</v>
      </c>
      <c r="K79" s="309">
        <f t="shared" ca="1" si="37"/>
        <v>94918</v>
      </c>
      <c r="L79" s="316"/>
      <c r="M79" s="289" t="str">
        <f t="shared" ca="1" si="21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>
        <v>3</v>
      </c>
      <c r="C80" s="319" t="s">
        <v>32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Mtr</v>
      </c>
      <c r="F80" s="455">
        <f>F77*1.5</f>
        <v>3</v>
      </c>
      <c r="G80" s="307">
        <f ca="1">IF(ISERROR(OFFSET('HARGA SATUAN'!$I$6,MATCH(RAB!C80,'HARGA SATUAN'!$C$7:$C$1495,0),0)),0,OFFSET('HARGA SATUAN'!$I$6,MATCH(RAB!C80,'HARGA SATUAN'!$C$7:$C$1495,0),0))</f>
        <v>30000</v>
      </c>
      <c r="H80" s="308">
        <f t="shared" ca="1" si="34"/>
        <v>0</v>
      </c>
      <c r="I80" s="308">
        <f t="shared" ca="1" si="35"/>
        <v>90000</v>
      </c>
      <c r="J80" s="308">
        <f t="shared" ca="1" si="36"/>
        <v>0</v>
      </c>
      <c r="K80" s="309">
        <f t="shared" ca="1" si="37"/>
        <v>90000</v>
      </c>
      <c r="L80" s="316"/>
      <c r="M80" s="289" t="str">
        <f t="shared" ca="1" si="21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4</v>
      </c>
      <c r="C81" s="319" t="s">
        <v>33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5">
        <f>F77*2</f>
        <v>4</v>
      </c>
      <c r="G81" s="307">
        <f ca="1">IF(ISERROR(OFFSET('HARGA SATUAN'!$I$6,MATCH(RAB!C81,'HARGA SATUAN'!$C$7:$C$1495,0),0)),0,OFFSET('HARGA SATUAN'!$I$6,MATCH(RAB!C81,'HARGA SATUAN'!$C$7:$C$1495,0),0))</f>
        <v>9500</v>
      </c>
      <c r="H81" s="308">
        <f t="shared" ca="1" si="34"/>
        <v>0</v>
      </c>
      <c r="I81" s="308">
        <f t="shared" ca="1" si="35"/>
        <v>38000</v>
      </c>
      <c r="J81" s="308">
        <f t="shared" ca="1" si="36"/>
        <v>0</v>
      </c>
      <c r="K81" s="309">
        <f t="shared" ca="1" si="37"/>
        <v>38000</v>
      </c>
      <c r="L81" s="316"/>
      <c r="M81" s="289" t="str">
        <f t="shared" ca="1" si="21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5</v>
      </c>
      <c r="C82" s="319" t="s">
        <v>735</v>
      </c>
      <c r="D82" s="305" t="str">
        <f ca="1">IF(ISERROR(OFFSET('HARGA SATUAN'!$D$6,MATCH(RAB!C82,'HARGA SATUAN'!$C$7:$C$1495,0),0)),"",OFFSET('HARGA SATUAN'!$D$6,MATCH(RAB!C82,'HARGA SATUAN'!$C$7:$C$1495,0),0))</f>
        <v>JASA</v>
      </c>
      <c r="E82" s="306" t="str">
        <f ca="1">IF(B82="+","Unit",IF(ISERROR(OFFSET('HARGA SATUAN'!$E$6,MATCH(RAB!C82,'HARGA SATUAN'!$C$7:$C$1495,0),0)),"",OFFSET('HARGA SATUAN'!$E$6,MATCH(RAB!C82,'HARGA SATUAN'!$C$7:$C$1495,0),0)))</f>
        <v>Unit</v>
      </c>
      <c r="F82" s="455">
        <f>F77*1</f>
        <v>2</v>
      </c>
      <c r="G82" s="307">
        <f ca="1">IF(ISERROR(OFFSET('HARGA SATUAN'!$I$6,MATCH(RAB!C82,'HARGA SATUAN'!$C$7:$C$1495,0),0)),0,OFFSET('HARGA SATUAN'!$I$6,MATCH(RAB!C82,'HARGA SATUAN'!$C$7:$C$1495,0),0))</f>
        <v>56400</v>
      </c>
      <c r="H82" s="308">
        <f t="shared" ca="1" si="34"/>
        <v>0</v>
      </c>
      <c r="I82" s="308">
        <f t="shared" ca="1" si="35"/>
        <v>0</v>
      </c>
      <c r="J82" s="308">
        <f t="shared" ca="1" si="36"/>
        <v>112800</v>
      </c>
      <c r="K82" s="309">
        <f t="shared" ca="1" si="37"/>
        <v>112800</v>
      </c>
      <c r="L82" s="316"/>
      <c r="M82" s="289" t="str">
        <f t="shared" ca="1" si="21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>
      <c r="B83" s="321"/>
      <c r="C83" s="320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315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34"/>
        <v>0</v>
      </c>
      <c r="I83" s="308">
        <f t="shared" ca="1" si="35"/>
        <v>0</v>
      </c>
      <c r="J83" s="308">
        <f t="shared" ca="1" si="36"/>
        <v>0</v>
      </c>
      <c r="K83" s="309">
        <f t="shared" ca="1" si="37"/>
        <v>0</v>
      </c>
      <c r="M83" s="289" t="str">
        <f t="shared" ca="1" si="21"/>
        <v/>
      </c>
    </row>
    <row r="84" spans="1:22">
      <c r="B84" s="322"/>
      <c r="C84" s="323" t="s">
        <v>475</v>
      </c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315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30"/>
        <v>0</v>
      </c>
      <c r="I84" s="308">
        <f t="shared" ca="1" si="31"/>
        <v>0</v>
      </c>
      <c r="J84" s="308">
        <f t="shared" ca="1" si="32"/>
        <v>0</v>
      </c>
      <c r="K84" s="309">
        <f t="shared" ca="1" si="33"/>
        <v>0</v>
      </c>
      <c r="M84" s="289" t="e">
        <f>IF(AND(F84&gt;0,#REF!=0),"",IF(AND(ISBLANK(F84)=FALSE,K84=0),"WARNING",""))</f>
        <v>#REF!</v>
      </c>
    </row>
    <row r="85" spans="1:22">
      <c r="B85" s="325">
        <v>1</v>
      </c>
      <c r="C85" s="326" t="s">
        <v>1091</v>
      </c>
      <c r="D85" s="327" t="str">
        <f ca="1">IF(ISERROR(OFFSET('HARGA SATUAN'!$D$6,MATCH(RAB!C85,'HARGA SATUAN'!$C$7:$C$1495,0),0)),"",OFFSET('HARGA SATUAN'!$D$6,MATCH(RAB!C85,'HARGA SATUAN'!$C$7:$C$1495,0),0))</f>
        <v>JASA</v>
      </c>
      <c r="E85" s="328" t="str">
        <f ca="1">IF(ISERROR(OFFSET('HARGA SATUAN'!$E$6,MATCH(RAB!C85,'HARGA SATUAN'!$C$7:$C$1495,0),0)),"",OFFSET('HARGA SATUAN'!$E$6,MATCH(RAB!C85,'HARGA SATUAN'!$C$7:$C$1495,0),0))</f>
        <v>Lot</v>
      </c>
      <c r="F85" s="329">
        <v>1</v>
      </c>
      <c r="G85" s="330">
        <f ca="1">IF(ISERROR(OFFSET('HARGA SATUAN'!$I$6,MATCH(RAB!C85,'HARGA SATUAN'!$C$7:$C$1495,0),0)),0,OFFSET('HARGA SATUAN'!$I$6,MATCH(RAB!C85,'HARGA SATUAN'!$C$7:$C$1495,0),0))</f>
        <v>2.5000000000000001E-2</v>
      </c>
      <c r="H85" s="331">
        <f ca="1">SUM(H14:H84)*G85</f>
        <v>438465</v>
      </c>
      <c r="I85" s="331">
        <f ca="1">SUM(I14:I84)*G85</f>
        <v>216852.25</v>
      </c>
      <c r="J85" s="331">
        <f ca="1">SUM(J14:J84)*G85</f>
        <v>52013.583333333336</v>
      </c>
      <c r="K85" s="331">
        <f ca="1">SUM(K14:K84)*G85</f>
        <v>707330.83333333337</v>
      </c>
      <c r="M85" s="289" t="str">
        <f t="shared" ref="M85" si="42">IF(AND(F85&gt;0,F84=0),"",IF(AND(ISBLANK(F85)=FALSE,K85=0),"WARNING",""))</f>
        <v/>
      </c>
    </row>
    <row r="86" spans="1:22">
      <c r="B86" s="332"/>
      <c r="C86" s="333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IF(ISERROR(OFFSET('HARGA SATUAN'!$E$6,MATCH(RAB!C86,'HARGA SATUAN'!$C$7:$C$1495,0),0)),"",OFFSET('HARGA SATUAN'!$E$6,MATCH(RAB!C86,'HARGA SATUAN'!$C$7:$C$1495,0),0))</f>
        <v/>
      </c>
      <c r="F86" s="324"/>
      <c r="G86" s="307" t="str">
        <f ca="1">IF(ISERROR(OFFSET('HARGA SATUAN'!$I$6,MATCH(RAB!C86,'HARGA SATUAN'!$C$7:$C$1495,0),0)),"",OFFSET('HARGA SATUAN'!$I$6,MATCH(RAB!C86,'HARGA SATUAN'!$C$7:$C$1495,0),0))</f>
        <v/>
      </c>
      <c r="H86" s="308">
        <f ca="1">IF(OR(D86="MDU",D86="MDU-KD"),IF(G86="PLN",0,G86*F86),0)</f>
        <v>0</v>
      </c>
      <c r="I86" s="308">
        <f ca="1">IF(D86="HDW",IF(G86="PLN",0,G86*F86),0)</f>
        <v>0</v>
      </c>
      <c r="J86" s="308">
        <f ca="1">IF(D86="JASA",IF(G86="PLN",0,G86*F86),0)</f>
        <v>0</v>
      </c>
      <c r="K86" s="309">
        <f ca="1">SUM(H86:J86)</f>
        <v>0</v>
      </c>
    </row>
    <row r="87" spans="1:22" ht="15.75" thickBot="1">
      <c r="B87" s="334"/>
      <c r="C87" s="335"/>
      <c r="D87" s="336"/>
      <c r="E87" s="337"/>
      <c r="F87" s="337"/>
      <c r="G87" s="337"/>
      <c r="H87" s="338"/>
      <c r="I87" s="338"/>
      <c r="J87" s="338"/>
      <c r="K87" s="339"/>
    </row>
    <row r="88" spans="1:22">
      <c r="B88" s="340"/>
      <c r="C88" s="571" t="s">
        <v>1008</v>
      </c>
      <c r="D88" s="571"/>
      <c r="E88" s="571"/>
      <c r="F88" s="571"/>
      <c r="G88" s="341" t="s">
        <v>9</v>
      </c>
      <c r="H88" s="342">
        <f ca="1">SUM(H14:H86)</f>
        <v>17977065</v>
      </c>
      <c r="I88" s="342">
        <f ca="1">SUM(I14:I86)</f>
        <v>8890942.25</v>
      </c>
      <c r="J88" s="342">
        <f ca="1">SUM(J14:J86)</f>
        <v>2132556.9166666665</v>
      </c>
      <c r="K88" s="342">
        <f ca="1">SUM(K14:K86)</f>
        <v>29000564.166666664</v>
      </c>
    </row>
    <row r="89" spans="1:22">
      <c r="B89" s="343"/>
      <c r="C89" s="588" t="s">
        <v>1455</v>
      </c>
      <c r="D89" s="588"/>
      <c r="E89" s="588"/>
      <c r="F89" s="588"/>
      <c r="G89" s="344" t="s">
        <v>9</v>
      </c>
      <c r="H89" s="345">
        <f ca="1">H88*0.11</f>
        <v>1977477.15</v>
      </c>
      <c r="I89" s="345">
        <f ca="1">I88*0.11</f>
        <v>978003.64749999996</v>
      </c>
      <c r="J89" s="345">
        <f ca="1">J88*0.11</f>
        <v>234581.2608333333</v>
      </c>
      <c r="K89" s="345">
        <f ca="1">K88*0.11</f>
        <v>3190062.0583333331</v>
      </c>
    </row>
    <row r="90" spans="1:22" ht="15.75" thickBot="1">
      <c r="B90" s="343"/>
      <c r="C90" s="585" t="s">
        <v>463</v>
      </c>
      <c r="D90" s="585"/>
      <c r="E90" s="585"/>
      <c r="F90" s="585"/>
      <c r="G90" s="346" t="s">
        <v>9</v>
      </c>
      <c r="H90" s="347">
        <f ca="1">SUM(H88:H89)</f>
        <v>19954542.149999999</v>
      </c>
      <c r="I90" s="347">
        <f ca="1">SUM(I88:I89)</f>
        <v>9868945.8975000009</v>
      </c>
      <c r="J90" s="346">
        <f ca="1">SUM(J88:J89)</f>
        <v>2367138.1774999998</v>
      </c>
      <c r="K90" s="346">
        <f ca="1">SUM(K88:K89)</f>
        <v>32190626.224999998</v>
      </c>
      <c r="M90" s="411"/>
    </row>
    <row r="91" spans="1:22">
      <c r="B91" s="589" t="str">
        <f ca="1">"Terbilang : "&amp;PROPER(IF(K90=0,"nol",IF(K90&lt;0,"minus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IF(--MID(TEXT(ABS(K90),"000000000000000"),1,3)=0,"",MID(TEXT(ABS(K90),"000000000000000"),1,1)&amp;" ratus "&amp;MID(TEXT(ABS(K90),"000000000000000"),2,1)&amp;" puluh "&amp;MID(TEXT(ABS(K90),"000000000000000"),3,1)&amp;" trilyun ")&amp; IF(--MID(TEXT(ABS(K90),"000000000000000"),4,3)=0,"",MID(TEXT(ABS(K90),"000000000000000"),4,1)&amp;" ratus "&amp;MID(TEXT(ABS(K90),"000000000000000"),5,1)&amp;" puluh "&amp;MID(TEXT(ABS(K90),"000000000000000"),6,1)&amp;" milyar ")&amp; IF(--MID(TEXT(ABS(K90),"000000000000000"),7,3)=0,"",MID(TEXT(ABS(K90),"000000000000000"),7,1)&amp;" ratus "&amp;MID(TEXT(ABS(K90),"000000000000000"),8,1)&amp;" puluh "&amp;MID(TEXT(ABS(K90),"000000000000000"),9,1)&amp;" juta ")&amp; IF(--MID(TEXT(ABS(K90),"000000000000000"),10,3)=0,"",IF(--MID(TEXT(ABS(K90),"000000000000000"),10,3)=1,"*",MID(TEXT(ABS(K90),"000000000000000"),10,1)&amp;" ratus "&amp;MID(TEXT(ABS(K90),"000000000000000"),11,1)&amp;" puluh ")&amp;MID(TEXT(ABS(K90),"000000000000000"),12,1)&amp;" ribu ")&amp; IF(--MID(TEXT(ABS(K90),"000000000000000"),13,3)=0,"",MID(TEXT(ABS(K90),"000000000000000"),13,1)&amp;" ratus "&amp;MID(TEXT(ABS(K90),"000000000000000"),14,1)&amp;" puluh "&amp;MID(TEXT(ABS(K90),"000000000000000"),15,1)),1,"satu"),2,"dua"),3,"tiga"),4,"empat"),5,"lima"),6,"enam"),7,"tujuh"),8,"delapan"),9,"sembilan"),"0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Dua Juta Seratus Sembilan Puluh Ribu Enam Ratus Dua Puluh Enam Rupiah</v>
      </c>
      <c r="C91" s="590"/>
      <c r="D91" s="590"/>
      <c r="E91" s="590"/>
      <c r="F91" s="590"/>
      <c r="G91" s="590"/>
      <c r="H91" s="590"/>
      <c r="I91" s="590"/>
      <c r="J91" s="590"/>
      <c r="K91" s="591"/>
    </row>
    <row r="92" spans="1:22">
      <c r="B92" s="592"/>
      <c r="C92" s="593"/>
      <c r="D92" s="593"/>
      <c r="E92" s="593"/>
      <c r="F92" s="593"/>
      <c r="G92" s="593"/>
      <c r="H92" s="593"/>
      <c r="I92" s="593"/>
      <c r="J92" s="593"/>
      <c r="K92" s="594"/>
    </row>
    <row r="93" spans="1:22" ht="15.75" thickBot="1">
      <c r="B93" s="348" t="str">
        <f>"Harga yang dipakai adalah "&amp;'HARGA SATUAN'!I5&amp;""</f>
        <v>Harga yang dipakai adalah RAB HSS 2023</v>
      </c>
      <c r="C93" s="349"/>
      <c r="D93" s="350"/>
      <c r="E93" s="350"/>
      <c r="F93" s="350"/>
      <c r="G93" s="351"/>
      <c r="H93" s="351"/>
      <c r="I93" s="351"/>
      <c r="J93" s="351"/>
      <c r="K93" s="352"/>
    </row>
    <row r="94" spans="1:22">
      <c r="C94" s="353"/>
      <c r="E94" s="355"/>
      <c r="F94" s="355"/>
      <c r="G94" s="355"/>
    </row>
    <row r="95" spans="1:22">
      <c r="C95" s="284"/>
      <c r="E95" s="355"/>
      <c r="F95" s="355"/>
      <c r="G95" s="355"/>
      <c r="H95" s="595"/>
      <c r="I95" s="595"/>
      <c r="J95" s="596"/>
      <c r="K95" s="596"/>
    </row>
    <row r="96" spans="1:22">
      <c r="C96" s="284"/>
      <c r="E96" s="355"/>
      <c r="F96" s="355"/>
      <c r="G96" s="355"/>
      <c r="H96" s="356"/>
      <c r="I96" s="584" t="s">
        <v>1617</v>
      </c>
      <c r="J96" s="584"/>
      <c r="K96" s="584"/>
    </row>
    <row r="97" spans="3:11">
      <c r="C97" s="284"/>
      <c r="E97" s="355"/>
      <c r="F97" s="355"/>
      <c r="G97" s="355"/>
      <c r="H97" s="356"/>
      <c r="I97" s="584" t="s">
        <v>1610</v>
      </c>
      <c r="J97" s="584"/>
      <c r="K97" s="584"/>
    </row>
    <row r="98" spans="3:11">
      <c r="C98" s="284"/>
      <c r="E98" s="355"/>
      <c r="F98" s="355"/>
      <c r="G98" s="355"/>
      <c r="H98" s="357"/>
      <c r="I98" s="358"/>
      <c r="J98" s="358"/>
      <c r="K98" s="358"/>
    </row>
    <row r="99" spans="3:11">
      <c r="C99" s="284"/>
      <c r="E99" s="355"/>
      <c r="F99" s="355"/>
      <c r="G99" s="355"/>
      <c r="H99" s="357"/>
      <c r="I99" s="357"/>
      <c r="J99" s="357"/>
      <c r="K99" s="357"/>
    </row>
    <row r="100" spans="3:11">
      <c r="C100" s="284"/>
      <c r="E100" s="355"/>
      <c r="F100" s="355"/>
      <c r="G100" s="355"/>
      <c r="H100" s="357"/>
      <c r="I100" s="357"/>
      <c r="J100" s="357"/>
      <c r="K100" s="357"/>
    </row>
    <row r="101" spans="3:11">
      <c r="C101" s="284"/>
      <c r="E101" s="355"/>
      <c r="F101" s="355"/>
      <c r="G101" s="355"/>
      <c r="H101" s="357"/>
      <c r="I101" s="357"/>
      <c r="J101" s="357"/>
      <c r="K101" s="357"/>
    </row>
    <row r="102" spans="3:11">
      <c r="C102" s="284"/>
      <c r="E102" s="355"/>
      <c r="F102" s="355"/>
      <c r="G102" s="355"/>
      <c r="H102" s="359"/>
      <c r="I102" s="584" t="s">
        <v>1611</v>
      </c>
      <c r="J102" s="584"/>
      <c r="K102" s="584"/>
    </row>
    <row r="103" spans="3:11">
      <c r="C103" s="353"/>
      <c r="E103" s="355"/>
      <c r="F103" s="355"/>
      <c r="G103" s="355"/>
      <c r="H103" s="357"/>
      <c r="I103" s="357"/>
      <c r="J103" s="357"/>
      <c r="K103" s="357"/>
    </row>
    <row r="104" spans="3:11">
      <c r="C104" s="353"/>
      <c r="E104" s="355"/>
      <c r="F104" s="355"/>
      <c r="G104" s="355"/>
      <c r="H104" s="357"/>
      <c r="I104" s="357"/>
      <c r="J104" s="357"/>
      <c r="K104" s="357"/>
    </row>
    <row r="105" spans="3:11">
      <c r="C105" s="353"/>
      <c r="E105" s="355"/>
      <c r="F105" s="355"/>
      <c r="G105" s="355"/>
      <c r="H105" s="357"/>
      <c r="I105" s="357"/>
      <c r="J105" s="357"/>
      <c r="K105" s="357"/>
    </row>
  </sheetData>
  <sheetProtection sort="0" autoFilter="0"/>
  <protectedRanges>
    <protectedRange sqref="C83" name="Range1_1_1"/>
    <protectedRange sqref="B69:C69 B15 B16:C16 B17:B19 B43:C63 B64:B68 B20:C21" name="Range1_6_1"/>
    <protectedRange sqref="D17" name="Range1_1_3"/>
    <protectedRange sqref="C68" name="Range1_6_1_10"/>
    <protectedRange sqref="B70:C82" name="Range1_6_1_11"/>
    <protectedRange sqref="C18:C19" name="Range1_6_1_9"/>
    <protectedRange sqref="B22:C27 B41:C42" name="Range1_6_1_15"/>
    <protectedRange sqref="B29:C40" name="Range1_6_1_16"/>
    <protectedRange sqref="B28:C28" name="Range1_6_1_1_2"/>
    <protectedRange sqref="C66" name="Range1_6_1_17"/>
    <protectedRange sqref="C17" name="Range1_1_3_2"/>
    <protectedRange sqref="C64" name="Range1_1_3_3"/>
    <protectedRange sqref="C65" name="Range1_1_3_4"/>
    <protectedRange sqref="C67" name="Range1_6_1_6"/>
  </protectedRanges>
  <mergeCells count="22">
    <mergeCell ref="I97:K97"/>
    <mergeCell ref="I102:K102"/>
    <mergeCell ref="C90:F90"/>
    <mergeCell ref="G6:K6"/>
    <mergeCell ref="I96:K96"/>
    <mergeCell ref="C89:F89"/>
    <mergeCell ref="B91:K92"/>
    <mergeCell ref="H95:K95"/>
    <mergeCell ref="H11:K11"/>
    <mergeCell ref="H12:H13"/>
    <mergeCell ref="J12:J13"/>
    <mergeCell ref="K12:K13"/>
    <mergeCell ref="O3:P4"/>
    <mergeCell ref="B4:K4"/>
    <mergeCell ref="C88:F88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12" priority="77" operator="equal">
      <formula>0</formula>
    </cfRule>
  </conditionalFormatting>
  <conditionalFormatting sqref="D17">
    <cfRule type="cellIs" dxfId="10" priority="38" operator="equal">
      <formula>0</formula>
    </cfRule>
  </conditionalFormatting>
  <conditionalFormatting sqref="E1:E3 E5:E13 H12:I12 O13 E85:G85 H85:K87 E86:H86 E87:F87 E41:K69 E14:K34 S14:V82 E75:K84 E70:E74 G70:K74">
    <cfRule type="cellIs" dxfId="9" priority="1121" stopIfTrue="1" operator="equal">
      <formula>0</formula>
    </cfRule>
  </conditionalFormatting>
  <conditionalFormatting sqref="E35:E40 G35:K40">
    <cfRule type="cellIs" dxfId="8" priority="7" stopIfTrue="1" operator="equal">
      <formula>0</formula>
    </cfRule>
  </conditionalFormatting>
  <conditionalFormatting sqref="G1:G13">
    <cfRule type="cellIs" dxfId="7" priority="46" stopIfTrue="1" operator="equal">
      <formula>0</formula>
    </cfRule>
  </conditionalFormatting>
  <conditionalFormatting sqref="G86:G65552 E91:E65552">
    <cfRule type="cellIs" dxfId="6" priority="255" stopIfTrue="1" operator="equal">
      <formula>0</formula>
    </cfRule>
  </conditionalFormatting>
  <conditionalFormatting sqref="C17">
    <cfRule type="cellIs" dxfId="5" priority="6" operator="equal">
      <formula>0</formula>
    </cfRule>
  </conditionalFormatting>
  <conditionalFormatting sqref="F35:F40">
    <cfRule type="cellIs" dxfId="4" priority="5" stopIfTrue="1" operator="equal">
      <formula>0</formula>
    </cfRule>
  </conditionalFormatting>
  <conditionalFormatting sqref="C64">
    <cfRule type="cellIs" dxfId="3" priority="4" operator="equal">
      <formula>0</formula>
    </cfRule>
  </conditionalFormatting>
  <conditionalFormatting sqref="C65">
    <cfRule type="cellIs" dxfId="2" priority="3" operator="equal">
      <formula>0</formula>
    </cfRule>
  </conditionalFormatting>
  <conditionalFormatting sqref="C71">
    <cfRule type="cellIs" dxfId="1" priority="2" operator="equal">
      <formula>0</formula>
    </cfRule>
  </conditionalFormatting>
  <conditionalFormatting sqref="F70:F74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64:F68 F77:F82 F16:F62 H14:K8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17" xr:uid="{9163F6B6-2A35-1549-9AE3-E2742EE59E76}">
      <formula1>$P$1737:$P$1741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8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0EDDC-D046-4E08-BA70-CD8441DA8741}">
  <sheetPr>
    <tabColor rgb="FF92D050"/>
  </sheetPr>
  <dimension ref="C1:AN59"/>
  <sheetViews>
    <sheetView showGridLines="0" topLeftCell="A10" zoomScale="115" zoomScaleNormal="115" zoomScaleSheetLayoutView="100" workbookViewId="0">
      <selection activeCell="T27" sqref="T27"/>
    </sheetView>
  </sheetViews>
  <sheetFormatPr defaultColWidth="9.140625" defaultRowHeight="12"/>
  <cols>
    <col min="1" max="2" width="1.42578125" style="611" customWidth="1"/>
    <col min="3" max="3" width="7.42578125" style="611" customWidth="1"/>
    <col min="4" max="23" width="5.7109375" style="611" customWidth="1"/>
    <col min="24" max="24" width="6.28515625" style="611" customWidth="1"/>
    <col min="25" max="26" width="5.7109375" style="611" customWidth="1"/>
    <col min="27" max="27" width="6.5703125" style="611" customWidth="1"/>
    <col min="28" max="118" width="5.7109375" style="611" customWidth="1"/>
    <col min="119" max="16384" width="9.140625" style="611"/>
  </cols>
  <sheetData>
    <row r="1" spans="3:30" ht="12.75" thickBot="1"/>
    <row r="2" spans="3:30">
      <c r="C2" s="612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4" t="s">
        <v>1438</v>
      </c>
      <c r="X2" s="615"/>
      <c r="Y2" s="615"/>
      <c r="Z2" s="615"/>
      <c r="AA2" s="615"/>
      <c r="AB2" s="615"/>
      <c r="AC2" s="615"/>
      <c r="AD2" s="616"/>
    </row>
    <row r="3" spans="3:30">
      <c r="C3" s="617" t="s">
        <v>1627</v>
      </c>
      <c r="W3" s="618"/>
      <c r="X3" s="619"/>
      <c r="Y3" s="619"/>
      <c r="Z3" s="619"/>
      <c r="AA3" s="619"/>
      <c r="AB3" s="619"/>
      <c r="AC3" s="619"/>
      <c r="AD3" s="620"/>
    </row>
    <row r="4" spans="3:30">
      <c r="C4" s="621"/>
      <c r="W4" s="622" t="s">
        <v>987</v>
      </c>
      <c r="AD4" s="623"/>
    </row>
    <row r="5" spans="3:30">
      <c r="C5" s="621"/>
      <c r="W5" s="624" t="s">
        <v>991</v>
      </c>
      <c r="X5" s="625" t="s">
        <v>990</v>
      </c>
      <c r="Y5" s="625"/>
      <c r="Z5" s="625"/>
      <c r="AA5" s="625" t="s">
        <v>988</v>
      </c>
      <c r="AB5" s="625"/>
      <c r="AC5" s="625" t="s">
        <v>989</v>
      </c>
      <c r="AD5" s="626"/>
    </row>
    <row r="6" spans="3:30">
      <c r="C6" s="621"/>
      <c r="W6" s="624">
        <v>1</v>
      </c>
      <c r="X6" s="625" t="s">
        <v>993</v>
      </c>
      <c r="Y6" s="625"/>
      <c r="Z6" s="625"/>
      <c r="AA6" s="625"/>
      <c r="AB6" s="625"/>
      <c r="AC6" s="625"/>
      <c r="AD6" s="626"/>
    </row>
    <row r="7" spans="3:30">
      <c r="C7" s="621"/>
      <c r="W7" s="624">
        <v>2</v>
      </c>
      <c r="X7" s="625" t="s">
        <v>994</v>
      </c>
      <c r="Y7" s="625"/>
      <c r="Z7" s="625"/>
      <c r="AA7" s="625"/>
      <c r="AB7" s="625"/>
      <c r="AC7" s="625"/>
      <c r="AD7" s="626"/>
    </row>
    <row r="8" spans="3:30">
      <c r="C8" s="621"/>
      <c r="W8" s="624">
        <v>3</v>
      </c>
      <c r="X8" s="625" t="s">
        <v>995</v>
      </c>
      <c r="Y8" s="625"/>
      <c r="Z8" s="625"/>
      <c r="AA8" s="625"/>
      <c r="AB8" s="625"/>
      <c r="AC8" s="625"/>
      <c r="AD8" s="626"/>
    </row>
    <row r="9" spans="3:30">
      <c r="C9" s="621"/>
      <c r="W9" s="624">
        <v>4</v>
      </c>
      <c r="X9" s="625" t="s">
        <v>996</v>
      </c>
      <c r="Y9" s="625"/>
      <c r="Z9" s="625"/>
      <c r="AA9" s="625"/>
      <c r="AB9" s="625"/>
      <c r="AC9" s="625"/>
      <c r="AD9" s="626"/>
    </row>
    <row r="10" spans="3:30">
      <c r="C10" s="621"/>
      <c r="W10" s="624">
        <v>5</v>
      </c>
      <c r="X10" s="625" t="s">
        <v>997</v>
      </c>
      <c r="Y10" s="625"/>
      <c r="Z10" s="625"/>
      <c r="AA10" s="625"/>
      <c r="AB10" s="625"/>
      <c r="AC10" s="625"/>
      <c r="AD10" s="626"/>
    </row>
    <row r="11" spans="3:30">
      <c r="C11" s="621"/>
      <c r="W11" s="624">
        <v>6</v>
      </c>
      <c r="X11" s="625" t="s">
        <v>998</v>
      </c>
      <c r="Y11" s="625"/>
      <c r="Z11" s="625"/>
      <c r="AA11" s="625"/>
      <c r="AB11" s="625"/>
      <c r="AC11" s="625"/>
      <c r="AD11" s="626"/>
    </row>
    <row r="12" spans="3:30">
      <c r="C12" s="621"/>
      <c r="W12" s="624">
        <v>7</v>
      </c>
      <c r="X12" s="625" t="s">
        <v>999</v>
      </c>
      <c r="Y12" s="625"/>
      <c r="Z12" s="625"/>
      <c r="AA12" s="625"/>
      <c r="AB12" s="625"/>
      <c r="AC12" s="625"/>
      <c r="AD12" s="626"/>
    </row>
    <row r="13" spans="3:30">
      <c r="C13" s="621"/>
      <c r="W13" s="624">
        <v>8</v>
      </c>
      <c r="X13" s="625" t="s">
        <v>1000</v>
      </c>
      <c r="Y13" s="625"/>
      <c r="Z13" s="625"/>
      <c r="AA13" s="625"/>
      <c r="AB13" s="625"/>
      <c r="AC13" s="625"/>
      <c r="AD13" s="626"/>
    </row>
    <row r="14" spans="3:30">
      <c r="C14" s="621"/>
      <c r="W14" s="624">
        <v>9</v>
      </c>
      <c r="X14" s="625" t="s">
        <v>1001</v>
      </c>
      <c r="Y14" s="625"/>
      <c r="Z14" s="625"/>
      <c r="AA14" s="625"/>
      <c r="AB14" s="625"/>
      <c r="AC14" s="625"/>
      <c r="AD14" s="626"/>
    </row>
    <row r="15" spans="3:30">
      <c r="C15" s="621"/>
      <c r="W15" s="624">
        <v>10</v>
      </c>
      <c r="X15" s="625" t="s">
        <v>1010</v>
      </c>
      <c r="Y15" s="625"/>
      <c r="Z15" s="625"/>
      <c r="AA15" s="625"/>
      <c r="AB15" s="625"/>
      <c r="AC15" s="625"/>
      <c r="AD15" s="626"/>
    </row>
    <row r="16" spans="3:30">
      <c r="C16" s="621"/>
      <c r="W16" s="624">
        <v>11</v>
      </c>
      <c r="X16" s="625" t="s">
        <v>1454</v>
      </c>
      <c r="Y16" s="625"/>
      <c r="Z16" s="625"/>
      <c r="AA16" s="625"/>
      <c r="AB16" s="625"/>
      <c r="AC16" s="625"/>
      <c r="AD16" s="626"/>
    </row>
    <row r="17" spans="3:40">
      <c r="C17" s="621"/>
      <c r="S17" s="627"/>
      <c r="W17" s="624">
        <v>12</v>
      </c>
      <c r="X17" s="625" t="s">
        <v>1011</v>
      </c>
      <c r="Y17" s="625"/>
      <c r="Z17" s="625"/>
      <c r="AA17" s="625"/>
      <c r="AB17" s="625"/>
      <c r="AC17" s="625"/>
      <c r="AD17" s="626"/>
    </row>
    <row r="18" spans="3:40">
      <c r="C18" s="628"/>
      <c r="D18" s="629"/>
      <c r="E18" s="629"/>
      <c r="W18" s="624">
        <v>13</v>
      </c>
      <c r="X18" s="625"/>
      <c r="Y18" s="625"/>
      <c r="Z18" s="625"/>
      <c r="AA18" s="625"/>
      <c r="AB18" s="625"/>
      <c r="AC18" s="625"/>
      <c r="AD18" s="626"/>
    </row>
    <row r="19" spans="3:40">
      <c r="C19" s="621"/>
      <c r="W19" s="630"/>
      <c r="X19" s="631"/>
      <c r="Y19" s="631"/>
      <c r="Z19" s="631"/>
      <c r="AA19" s="631"/>
      <c r="AB19" s="631"/>
      <c r="AC19" s="631"/>
      <c r="AD19" s="632"/>
    </row>
    <row r="20" spans="3:40">
      <c r="C20" s="621"/>
      <c r="Q20" s="633"/>
      <c r="W20" s="634" t="s">
        <v>992</v>
      </c>
      <c r="X20" s="635"/>
      <c r="Y20" s="635"/>
      <c r="Z20" s="635"/>
      <c r="AA20" s="635"/>
      <c r="AB20" s="635"/>
      <c r="AC20" s="635"/>
      <c r="AD20" s="636"/>
      <c r="AH20" s="611">
        <f>(44+65+64+59+63+59+61+57)*3</f>
        <v>1416</v>
      </c>
    </row>
    <row r="21" spans="3:40">
      <c r="C21" s="621"/>
      <c r="W21" s="637" t="s">
        <v>985</v>
      </c>
      <c r="X21" s="638"/>
      <c r="Y21" s="638"/>
      <c r="Z21" s="639"/>
      <c r="AA21" s="640" t="s">
        <v>986</v>
      </c>
      <c r="AB21" s="641"/>
      <c r="AC21" s="641"/>
      <c r="AD21" s="642"/>
    </row>
    <row r="22" spans="3:40">
      <c r="C22" s="621"/>
      <c r="S22" s="643"/>
      <c r="W22" s="644" t="s">
        <v>1628</v>
      </c>
      <c r="X22" s="645"/>
      <c r="Y22" s="646" t="s">
        <v>1621</v>
      </c>
      <c r="Z22" s="647">
        <v>2</v>
      </c>
      <c r="AA22" s="648"/>
      <c r="AB22" s="649"/>
      <c r="AC22" s="650"/>
      <c r="AD22" s="651"/>
      <c r="AF22" s="652"/>
      <c r="AG22" s="652"/>
      <c r="AH22" s="653"/>
      <c r="AI22" s="653"/>
      <c r="AK22" s="652"/>
      <c r="AL22" s="652"/>
      <c r="AM22" s="653"/>
      <c r="AN22" s="653"/>
    </row>
    <row r="23" spans="3:40">
      <c r="C23" s="621"/>
      <c r="W23" s="644" t="s">
        <v>1613</v>
      </c>
      <c r="X23" s="645"/>
      <c r="Y23" s="646" t="s">
        <v>1618</v>
      </c>
      <c r="Z23" s="647">
        <v>7</v>
      </c>
      <c r="AA23" s="654"/>
      <c r="AB23" s="655"/>
      <c r="AC23" s="650"/>
      <c r="AD23" s="651"/>
      <c r="AF23" s="652"/>
      <c r="AG23" s="652"/>
      <c r="AH23" s="653"/>
      <c r="AI23" s="653"/>
      <c r="AK23" s="652"/>
      <c r="AL23" s="652"/>
      <c r="AM23" s="653"/>
      <c r="AN23" s="653"/>
    </row>
    <row r="24" spans="3:40">
      <c r="C24" s="621"/>
      <c r="W24" s="644" t="s">
        <v>1629</v>
      </c>
      <c r="X24" s="645"/>
      <c r="Y24" s="646" t="s">
        <v>1618</v>
      </c>
      <c r="Z24" s="647">
        <v>1</v>
      </c>
      <c r="AA24" s="656"/>
      <c r="AB24" s="657"/>
      <c r="AC24" s="650"/>
      <c r="AD24" s="651"/>
      <c r="AF24" s="652"/>
      <c r="AG24" s="652"/>
      <c r="AH24" s="653"/>
      <c r="AI24" s="653"/>
      <c r="AK24" s="652"/>
      <c r="AL24" s="652"/>
      <c r="AM24" s="653"/>
      <c r="AN24" s="653"/>
    </row>
    <row r="25" spans="3:40">
      <c r="C25" s="621"/>
      <c r="W25" s="644" t="s">
        <v>1612</v>
      </c>
      <c r="X25" s="645"/>
      <c r="Y25" s="646" t="s">
        <v>1618</v>
      </c>
      <c r="Z25" s="647">
        <v>2</v>
      </c>
      <c r="AA25" s="654"/>
      <c r="AB25" s="655"/>
      <c r="AC25" s="650"/>
      <c r="AD25" s="651"/>
      <c r="AF25" s="652"/>
      <c r="AG25" s="652"/>
      <c r="AH25" s="653"/>
      <c r="AI25" s="653"/>
      <c r="AJ25" s="653"/>
      <c r="AK25" s="652"/>
      <c r="AL25" s="652"/>
      <c r="AM25" s="653"/>
      <c r="AN25" s="653"/>
    </row>
    <row r="26" spans="3:40">
      <c r="C26" s="621"/>
      <c r="W26" s="644" t="s">
        <v>1630</v>
      </c>
      <c r="X26" s="645"/>
      <c r="Y26" s="646" t="s">
        <v>1619</v>
      </c>
      <c r="Z26" s="647">
        <f>25+64+12+58+10</f>
        <v>169</v>
      </c>
      <c r="AA26" s="654"/>
      <c r="AB26" s="655"/>
      <c r="AC26" s="650"/>
      <c r="AD26" s="651"/>
      <c r="AF26" s="652"/>
      <c r="AG26" s="652"/>
      <c r="AH26" s="653"/>
      <c r="AI26" s="653"/>
      <c r="AJ26" s="653"/>
      <c r="AK26" s="658"/>
      <c r="AL26" s="658"/>
      <c r="AM26" s="653"/>
      <c r="AN26" s="653"/>
    </row>
    <row r="27" spans="3:40">
      <c r="C27" s="621"/>
      <c r="W27" s="659" t="s">
        <v>1631</v>
      </c>
      <c r="X27" s="660"/>
      <c r="Y27" s="646" t="s">
        <v>1618</v>
      </c>
      <c r="Z27" s="647">
        <v>16</v>
      </c>
      <c r="AA27" s="654"/>
      <c r="AB27" s="655"/>
      <c r="AC27" s="650"/>
      <c r="AD27" s="651"/>
      <c r="AF27" s="652"/>
      <c r="AG27" s="652"/>
      <c r="AH27" s="653"/>
      <c r="AI27" s="653"/>
      <c r="AJ27" s="653"/>
      <c r="AK27" s="658"/>
      <c r="AL27" s="658"/>
      <c r="AM27" s="653"/>
      <c r="AN27" s="653"/>
    </row>
    <row r="28" spans="3:40">
      <c r="C28" s="621"/>
      <c r="W28" s="659" t="s">
        <v>1620</v>
      </c>
      <c r="X28" s="660"/>
      <c r="Y28" s="646" t="s">
        <v>1618</v>
      </c>
      <c r="Z28" s="647">
        <v>2</v>
      </c>
      <c r="AA28" s="654"/>
      <c r="AB28" s="655"/>
      <c r="AC28" s="650"/>
      <c r="AD28" s="651"/>
      <c r="AF28" s="658"/>
      <c r="AG28" s="658"/>
      <c r="AH28" s="653"/>
      <c r="AI28" s="653"/>
      <c r="AK28" s="661"/>
      <c r="AL28" s="661"/>
      <c r="AM28" s="653"/>
      <c r="AN28" s="653"/>
    </row>
    <row r="29" spans="3:40">
      <c r="C29" s="621"/>
      <c r="W29" s="662"/>
      <c r="X29" s="663"/>
      <c r="Y29" s="646"/>
      <c r="Z29" s="647"/>
      <c r="AA29" s="654"/>
      <c r="AB29" s="655"/>
      <c r="AC29" s="650"/>
      <c r="AD29" s="651"/>
      <c r="AF29" s="658"/>
      <c r="AG29" s="658"/>
      <c r="AH29" s="653"/>
      <c r="AI29" s="653"/>
      <c r="AK29" s="661"/>
      <c r="AL29" s="661"/>
      <c r="AM29" s="653"/>
      <c r="AN29" s="653"/>
    </row>
    <row r="30" spans="3:40">
      <c r="C30" s="621"/>
      <c r="W30" s="662"/>
      <c r="X30" s="663"/>
      <c r="Y30" s="646"/>
      <c r="Z30" s="647"/>
      <c r="AA30" s="654"/>
      <c r="AB30" s="655"/>
      <c r="AC30" s="650"/>
      <c r="AD30" s="651"/>
      <c r="AF30" s="661"/>
      <c r="AG30" s="661"/>
      <c r="AH30" s="653"/>
      <c r="AI30" s="653"/>
    </row>
    <row r="31" spans="3:40">
      <c r="C31" s="621"/>
      <c r="U31" s="664"/>
      <c r="W31" s="662"/>
      <c r="X31" s="663"/>
      <c r="Y31" s="646"/>
      <c r="Z31" s="647"/>
      <c r="AA31" s="665"/>
      <c r="AB31" s="666"/>
      <c r="AC31" s="650"/>
      <c r="AD31" s="651"/>
      <c r="AF31" s="661"/>
      <c r="AG31" s="661"/>
      <c r="AH31" s="653"/>
      <c r="AI31" s="653"/>
    </row>
    <row r="32" spans="3:40">
      <c r="C32" s="621"/>
      <c r="U32" s="664"/>
      <c r="W32" s="662"/>
      <c r="X32" s="663"/>
      <c r="Y32" s="646"/>
      <c r="Z32" s="647"/>
      <c r="AA32" s="665"/>
      <c r="AB32" s="666"/>
      <c r="AC32" s="650"/>
      <c r="AD32" s="651"/>
      <c r="AF32" s="661"/>
      <c r="AG32" s="661"/>
      <c r="AH32" s="653"/>
      <c r="AI32" s="653"/>
    </row>
    <row r="33" spans="3:35">
      <c r="C33" s="621"/>
      <c r="W33" s="662"/>
      <c r="X33" s="663"/>
      <c r="Y33" s="646"/>
      <c r="Z33" s="647"/>
      <c r="AA33" s="665"/>
      <c r="AB33" s="666"/>
      <c r="AC33" s="650"/>
      <c r="AD33" s="651"/>
      <c r="AF33" s="661"/>
      <c r="AG33" s="661"/>
      <c r="AH33" s="653"/>
      <c r="AI33" s="653"/>
    </row>
    <row r="34" spans="3:35">
      <c r="C34" s="621"/>
      <c r="W34" s="667"/>
      <c r="X34" s="668"/>
      <c r="Y34" s="646"/>
      <c r="Z34" s="647"/>
      <c r="AA34" s="665"/>
      <c r="AB34" s="666"/>
      <c r="AC34" s="650"/>
      <c r="AD34" s="651"/>
      <c r="AF34" s="661"/>
      <c r="AG34" s="661"/>
      <c r="AH34" s="653"/>
      <c r="AI34" s="653"/>
    </row>
    <row r="35" spans="3:35">
      <c r="C35" s="621"/>
      <c r="W35" s="667"/>
      <c r="X35" s="668"/>
      <c r="Y35" s="646"/>
      <c r="Z35" s="647"/>
      <c r="AA35" s="665"/>
      <c r="AB35" s="666"/>
      <c r="AC35" s="650"/>
      <c r="AD35" s="651"/>
      <c r="AF35" s="658"/>
      <c r="AG35" s="658"/>
      <c r="AH35" s="653"/>
      <c r="AI35" s="653"/>
    </row>
    <row r="36" spans="3:35">
      <c r="C36" s="621"/>
      <c r="W36" s="662"/>
      <c r="X36" s="663"/>
      <c r="Y36" s="646"/>
      <c r="Z36" s="647"/>
      <c r="AA36" s="669"/>
      <c r="AB36" s="670"/>
      <c r="AC36" s="650"/>
      <c r="AD36" s="651"/>
      <c r="AF36" s="661"/>
      <c r="AG36" s="661"/>
      <c r="AH36" s="653"/>
      <c r="AI36" s="653"/>
    </row>
    <row r="37" spans="3:35">
      <c r="C37" s="621"/>
      <c r="W37" s="662"/>
      <c r="X37" s="663"/>
      <c r="Y37" s="646"/>
      <c r="Z37" s="647"/>
      <c r="AA37" s="669"/>
      <c r="AB37" s="670"/>
      <c r="AC37" s="650"/>
      <c r="AD37" s="651"/>
      <c r="AF37" s="661"/>
      <c r="AG37" s="661"/>
      <c r="AH37" s="653"/>
      <c r="AI37" s="653"/>
    </row>
    <row r="38" spans="3:35">
      <c r="C38" s="621"/>
      <c r="W38" s="667"/>
      <c r="X38" s="668"/>
      <c r="Y38" s="646"/>
      <c r="Z38" s="647"/>
      <c r="AA38" s="665"/>
      <c r="AB38" s="666"/>
      <c r="AC38" s="650"/>
      <c r="AD38" s="651"/>
      <c r="AF38" s="658"/>
      <c r="AG38" s="658"/>
      <c r="AH38" s="653"/>
      <c r="AI38" s="653"/>
    </row>
    <row r="39" spans="3:35">
      <c r="C39" s="621"/>
      <c r="W39" s="667"/>
      <c r="X39" s="668"/>
      <c r="Y39" s="646"/>
      <c r="Z39" s="647"/>
      <c r="AA39" s="665"/>
      <c r="AB39" s="666"/>
      <c r="AC39" s="671"/>
      <c r="AD39" s="672"/>
      <c r="AF39" s="658"/>
      <c r="AG39" s="658"/>
      <c r="AH39" s="653"/>
      <c r="AI39" s="653"/>
    </row>
    <row r="40" spans="3:35">
      <c r="C40" s="621"/>
      <c r="W40" s="667"/>
      <c r="X40" s="668"/>
      <c r="Y40" s="646"/>
      <c r="Z40" s="673"/>
      <c r="AA40" s="674"/>
      <c r="AB40" s="675"/>
      <c r="AC40" s="671"/>
      <c r="AD40" s="672"/>
      <c r="AF40" s="658"/>
      <c r="AG40" s="658"/>
      <c r="AH40" s="653"/>
      <c r="AI40" s="653"/>
    </row>
    <row r="41" spans="3:35">
      <c r="C41" s="621"/>
      <c r="W41" s="667"/>
      <c r="X41" s="668"/>
      <c r="Y41" s="646"/>
      <c r="Z41" s="673"/>
      <c r="AA41" s="676"/>
      <c r="AB41" s="677"/>
      <c r="AC41" s="671"/>
      <c r="AD41" s="672"/>
      <c r="AF41" s="658"/>
      <c r="AG41" s="658"/>
      <c r="AH41" s="653"/>
      <c r="AI41" s="653"/>
    </row>
    <row r="42" spans="3:35">
      <c r="C42" s="621"/>
      <c r="W42" s="678"/>
      <c r="X42" s="679"/>
      <c r="Y42" s="680"/>
      <c r="Z42" s="681"/>
      <c r="AA42" s="682"/>
      <c r="AB42" s="683"/>
      <c r="AC42" s="671"/>
      <c r="AD42" s="672"/>
    </row>
    <row r="43" spans="3:35">
      <c r="C43" s="621"/>
      <c r="W43" s="684"/>
      <c r="X43" s="685"/>
      <c r="Y43" s="680"/>
      <c r="Z43" s="680"/>
      <c r="AA43" s="682"/>
      <c r="AB43" s="683"/>
      <c r="AC43" s="671"/>
      <c r="AD43" s="672"/>
    </row>
    <row r="44" spans="3:35">
      <c r="C44" s="621"/>
      <c r="W44" s="684"/>
      <c r="X44" s="685"/>
      <c r="Y44" s="686"/>
      <c r="Z44" s="687"/>
      <c r="AA44" s="682"/>
      <c r="AB44" s="683"/>
      <c r="AC44" s="671"/>
      <c r="AD44" s="672"/>
    </row>
    <row r="45" spans="3:35">
      <c r="C45" s="621"/>
      <c r="W45" s="667"/>
      <c r="X45" s="668"/>
      <c r="Y45" s="688"/>
      <c r="Z45" s="689"/>
      <c r="AA45" s="676"/>
      <c r="AB45" s="677"/>
      <c r="AC45" s="671"/>
      <c r="AD45" s="672"/>
    </row>
    <row r="46" spans="3:35">
      <c r="C46" s="621"/>
      <c r="W46" s="690" t="s">
        <v>1632</v>
      </c>
      <c r="X46" s="691"/>
      <c r="Y46" s="691"/>
      <c r="Z46" s="691"/>
      <c r="AA46" s="691"/>
      <c r="AB46" s="691"/>
      <c r="AC46" s="691"/>
      <c r="AD46" s="692"/>
      <c r="AF46" s="658"/>
      <c r="AG46" s="658"/>
      <c r="AH46" s="653"/>
      <c r="AI46" s="653"/>
    </row>
    <row r="47" spans="3:35">
      <c r="C47" s="621"/>
      <c r="V47" s="693"/>
      <c r="W47" s="694"/>
      <c r="X47" s="695"/>
      <c r="Y47" s="695"/>
      <c r="Z47" s="695"/>
      <c r="AA47" s="695"/>
      <c r="AB47" s="695"/>
      <c r="AC47" s="695"/>
      <c r="AD47" s="696"/>
      <c r="AF47" s="658"/>
      <c r="AG47" s="658"/>
      <c r="AH47" s="653"/>
      <c r="AI47" s="653"/>
    </row>
    <row r="48" spans="3:35">
      <c r="C48" s="697"/>
      <c r="D48" s="698"/>
      <c r="E48" s="698"/>
      <c r="F48" s="698"/>
      <c r="G48" s="698"/>
      <c r="H48" s="698"/>
      <c r="I48" s="698"/>
      <c r="N48" s="698"/>
      <c r="O48" s="698"/>
      <c r="P48" s="698"/>
      <c r="Q48" s="698"/>
      <c r="R48" s="698"/>
      <c r="S48" s="698"/>
      <c r="T48" s="698"/>
      <c r="U48" s="698"/>
      <c r="V48" s="693"/>
      <c r="W48" s="699" t="s">
        <v>11</v>
      </c>
      <c r="X48" s="700"/>
      <c r="Y48" s="625"/>
      <c r="Z48" s="625"/>
      <c r="AA48" s="625"/>
      <c r="AB48" s="625"/>
      <c r="AC48" s="625"/>
      <c r="AD48" s="626"/>
    </row>
    <row r="49" spans="3:35">
      <c r="C49" s="697"/>
      <c r="D49" s="698"/>
      <c r="E49" s="698"/>
      <c r="F49" s="698"/>
      <c r="G49" s="698"/>
      <c r="H49" s="698"/>
      <c r="I49" s="698"/>
      <c r="N49" s="698"/>
      <c r="O49" s="698"/>
      <c r="P49" s="698"/>
      <c r="Q49" s="698"/>
      <c r="R49" s="698"/>
      <c r="S49" s="698"/>
      <c r="T49" s="698"/>
      <c r="U49" s="698"/>
      <c r="V49" s="693"/>
      <c r="W49" s="699" t="s">
        <v>984</v>
      </c>
      <c r="X49" s="700"/>
      <c r="Y49" s="625">
        <v>1</v>
      </c>
      <c r="Z49" s="625"/>
      <c r="AA49" s="625"/>
      <c r="AB49" s="625" t="s">
        <v>12</v>
      </c>
      <c r="AC49" s="625"/>
      <c r="AD49" s="701" t="s">
        <v>13</v>
      </c>
    </row>
    <row r="50" spans="3:35">
      <c r="C50" s="697"/>
      <c r="D50" s="698"/>
      <c r="E50" s="698"/>
      <c r="F50" s="698"/>
      <c r="G50" s="698"/>
      <c r="H50" s="698"/>
      <c r="I50" s="698"/>
      <c r="J50" s="698"/>
      <c r="K50" s="698"/>
      <c r="L50" s="698"/>
      <c r="M50" s="698"/>
      <c r="N50" s="698"/>
      <c r="O50" s="698"/>
      <c r="P50" s="698"/>
      <c r="Q50" s="698"/>
      <c r="R50" s="698"/>
      <c r="S50" s="698"/>
      <c r="T50" s="698"/>
      <c r="U50" s="698"/>
      <c r="V50" s="693"/>
      <c r="W50" s="699" t="s">
        <v>15</v>
      </c>
      <c r="X50" s="700"/>
      <c r="Y50" s="702"/>
      <c r="Z50" s="702"/>
      <c r="AA50" s="702"/>
      <c r="AB50" s="625" t="s">
        <v>16</v>
      </c>
      <c r="AC50" s="625"/>
      <c r="AD50" s="703"/>
      <c r="AF50" s="658"/>
      <c r="AG50" s="658"/>
      <c r="AH50" s="653"/>
      <c r="AI50" s="653"/>
    </row>
    <row r="51" spans="3:35">
      <c r="C51" s="697"/>
      <c r="D51" s="698"/>
      <c r="E51" s="698"/>
      <c r="F51" s="698"/>
      <c r="G51" s="698"/>
      <c r="H51" s="698"/>
      <c r="I51" s="698"/>
      <c r="J51" s="698"/>
      <c r="K51" s="698"/>
      <c r="L51" s="698"/>
      <c r="M51" s="698"/>
      <c r="N51" s="698"/>
      <c r="O51" s="698"/>
      <c r="P51" s="698"/>
      <c r="Q51" s="698"/>
      <c r="R51" s="698"/>
      <c r="S51" s="698"/>
      <c r="T51" s="698"/>
      <c r="U51" s="698"/>
      <c r="V51" s="693"/>
      <c r="W51" s="704" t="s">
        <v>17</v>
      </c>
      <c r="X51" s="704"/>
      <c r="Y51" s="704"/>
      <c r="Z51" s="704"/>
      <c r="AA51" s="704"/>
      <c r="AB51" s="704"/>
      <c r="AC51" s="704"/>
      <c r="AD51" s="705"/>
      <c r="AF51" s="658"/>
      <c r="AG51" s="658"/>
      <c r="AH51" s="653"/>
      <c r="AI51" s="653"/>
    </row>
    <row r="52" spans="3:35">
      <c r="C52" s="697"/>
      <c r="I52" s="698"/>
      <c r="J52" s="698"/>
      <c r="K52" s="698"/>
      <c r="L52" s="698"/>
      <c r="M52" s="698"/>
      <c r="R52" s="698"/>
      <c r="S52" s="698"/>
      <c r="T52" s="698"/>
      <c r="U52" s="698"/>
      <c r="V52" s="693"/>
      <c r="W52" s="706" t="s">
        <v>1633</v>
      </c>
      <c r="X52" s="706"/>
      <c r="Y52" s="706"/>
      <c r="Z52" s="706"/>
      <c r="AA52" s="706"/>
      <c r="AB52" s="706"/>
      <c r="AC52" s="706"/>
      <c r="AD52" s="707"/>
    </row>
    <row r="53" spans="3:35">
      <c r="C53" s="697"/>
      <c r="I53" s="698"/>
      <c r="J53" s="698"/>
      <c r="K53" s="698"/>
      <c r="L53" s="698"/>
      <c r="M53" s="698"/>
      <c r="R53" s="698"/>
      <c r="S53" s="698"/>
      <c r="T53" s="698"/>
      <c r="U53" s="698"/>
      <c r="V53" s="708"/>
      <c r="W53" s="706"/>
      <c r="X53" s="706"/>
      <c r="Y53" s="706"/>
      <c r="Z53" s="706"/>
      <c r="AA53" s="706"/>
      <c r="AB53" s="706"/>
      <c r="AC53" s="706"/>
      <c r="AD53" s="707"/>
    </row>
    <row r="54" spans="3:35">
      <c r="C54" s="697"/>
      <c r="I54" s="698"/>
      <c r="J54" s="698"/>
      <c r="K54" s="698"/>
      <c r="L54" s="698"/>
      <c r="M54" s="698"/>
      <c r="N54" s="698"/>
      <c r="O54" s="698"/>
      <c r="P54" s="698"/>
      <c r="Q54" s="698"/>
      <c r="R54" s="698"/>
      <c r="S54" s="698"/>
      <c r="T54" s="698"/>
      <c r="U54" s="698"/>
      <c r="V54" s="708"/>
      <c r="W54" s="706"/>
      <c r="X54" s="706"/>
      <c r="Y54" s="706"/>
      <c r="Z54" s="706"/>
      <c r="AA54" s="706"/>
      <c r="AB54" s="706"/>
      <c r="AC54" s="706"/>
      <c r="AD54" s="707"/>
    </row>
    <row r="55" spans="3:35">
      <c r="C55" s="697"/>
      <c r="I55" s="698"/>
      <c r="J55" s="698"/>
      <c r="K55" s="698"/>
      <c r="L55" s="698"/>
      <c r="M55" s="698"/>
      <c r="N55" s="698"/>
      <c r="O55" s="698"/>
      <c r="P55" s="698"/>
      <c r="Q55" s="698"/>
      <c r="R55" s="698"/>
      <c r="S55" s="698"/>
      <c r="T55" s="698"/>
      <c r="U55" s="698"/>
      <c r="V55" s="708"/>
      <c r="W55" s="709"/>
      <c r="X55" s="709"/>
      <c r="Y55" s="709"/>
      <c r="Z55" s="709"/>
      <c r="AA55" s="709"/>
      <c r="AB55" s="709"/>
      <c r="AC55" s="709"/>
      <c r="AD55" s="710"/>
    </row>
    <row r="56" spans="3:35">
      <c r="C56" s="697"/>
      <c r="I56" s="698"/>
      <c r="J56" s="698"/>
      <c r="K56" s="698"/>
      <c r="L56" s="423"/>
      <c r="M56" s="698"/>
      <c r="N56" s="698"/>
      <c r="O56" s="698"/>
      <c r="P56" s="698"/>
      <c r="Q56" s="698"/>
      <c r="R56" s="698"/>
      <c r="S56" s="698"/>
      <c r="T56" s="698"/>
      <c r="U56" s="698"/>
      <c r="V56" s="693"/>
      <c r="W56" s="711" t="s">
        <v>18</v>
      </c>
      <c r="X56" s="700"/>
      <c r="Y56" s="625" t="s">
        <v>1626</v>
      </c>
      <c r="Z56" s="625"/>
      <c r="AA56" s="625"/>
      <c r="AB56" s="625"/>
      <c r="AC56" s="625"/>
      <c r="AD56" s="626"/>
    </row>
    <row r="57" spans="3:35">
      <c r="C57" s="697"/>
      <c r="I57" s="698"/>
      <c r="J57" s="698"/>
      <c r="K57" s="698"/>
      <c r="L57" s="698"/>
      <c r="M57" s="698"/>
      <c r="N57" s="698"/>
      <c r="O57" s="698"/>
      <c r="P57" s="698"/>
      <c r="Q57" s="698"/>
      <c r="R57" s="698"/>
      <c r="S57" s="698"/>
      <c r="T57" s="698"/>
      <c r="V57" s="693"/>
      <c r="W57" s="711" t="s">
        <v>19</v>
      </c>
      <c r="X57" s="700"/>
      <c r="Y57" s="625" t="s">
        <v>1625</v>
      </c>
      <c r="Z57" s="625"/>
      <c r="AA57" s="625"/>
      <c r="AB57" s="625"/>
      <c r="AC57" s="625"/>
      <c r="AD57" s="626"/>
    </row>
    <row r="58" spans="3:35">
      <c r="C58" s="697"/>
      <c r="I58" s="698"/>
      <c r="J58" s="698"/>
      <c r="K58" s="698"/>
      <c r="L58" s="698"/>
      <c r="M58" s="698"/>
      <c r="N58" s="698"/>
      <c r="O58" s="698"/>
      <c r="P58" s="698"/>
      <c r="Q58" s="698"/>
      <c r="R58" s="698"/>
      <c r="S58" s="698"/>
      <c r="T58" s="698"/>
      <c r="V58" s="693"/>
      <c r="W58" s="711" t="s">
        <v>20</v>
      </c>
      <c r="X58" s="700"/>
      <c r="Y58" s="625" t="s">
        <v>1625</v>
      </c>
      <c r="Z58" s="625"/>
      <c r="AA58" s="625"/>
      <c r="AB58" s="625"/>
      <c r="AC58" s="625"/>
      <c r="AD58" s="626"/>
    </row>
    <row r="59" spans="3:35" ht="12.75" thickBot="1">
      <c r="C59" s="712"/>
      <c r="D59" s="713"/>
      <c r="E59" s="713"/>
      <c r="F59" s="713"/>
      <c r="G59" s="713"/>
      <c r="H59" s="713"/>
      <c r="I59" s="713"/>
      <c r="J59" s="713"/>
      <c r="K59" s="713"/>
      <c r="L59" s="713"/>
      <c r="M59" s="713"/>
      <c r="N59" s="713"/>
      <c r="O59" s="713"/>
      <c r="P59" s="713"/>
      <c r="Q59" s="713"/>
      <c r="R59" s="713"/>
      <c r="S59" s="713"/>
      <c r="T59" s="713"/>
      <c r="U59" s="714"/>
      <c r="V59" s="715"/>
      <c r="W59" s="716" t="s">
        <v>21</v>
      </c>
      <c r="X59" s="717"/>
      <c r="Y59" s="718" t="s">
        <v>1624</v>
      </c>
      <c r="Z59" s="718"/>
      <c r="AA59" s="718"/>
      <c r="AB59" s="718"/>
      <c r="AC59" s="718"/>
      <c r="AD59" s="719"/>
    </row>
  </sheetData>
  <mergeCells count="128">
    <mergeCell ref="W59:X59"/>
    <mergeCell ref="Y59:AA59"/>
    <mergeCell ref="AB59:AD59"/>
    <mergeCell ref="W57:X57"/>
    <mergeCell ref="Y57:AA57"/>
    <mergeCell ref="AB57:AD57"/>
    <mergeCell ref="W58:X58"/>
    <mergeCell ref="Y58:AA58"/>
    <mergeCell ref="AB58:AD58"/>
    <mergeCell ref="AF50:AG50"/>
    <mergeCell ref="W51:AD51"/>
    <mergeCell ref="AF51:AG51"/>
    <mergeCell ref="W52:AD55"/>
    <mergeCell ref="W56:X56"/>
    <mergeCell ref="Y56:AA56"/>
    <mergeCell ref="AB56:AD56"/>
    <mergeCell ref="W49:X49"/>
    <mergeCell ref="Y49:AA49"/>
    <mergeCell ref="AB49:AC49"/>
    <mergeCell ref="W50:X50"/>
    <mergeCell ref="Y50:AA50"/>
    <mergeCell ref="AB50:AC50"/>
    <mergeCell ref="W45:X45"/>
    <mergeCell ref="AA45:AB45"/>
    <mergeCell ref="W46:AD47"/>
    <mergeCell ref="AF46:AG46"/>
    <mergeCell ref="AF47:AG47"/>
    <mergeCell ref="W48:X48"/>
    <mergeCell ref="Y48:AD48"/>
    <mergeCell ref="W40:X40"/>
    <mergeCell ref="AF40:AG40"/>
    <mergeCell ref="W41:X41"/>
    <mergeCell ref="AA41:AB41"/>
    <mergeCell ref="AF41:AG41"/>
    <mergeCell ref="W42:X42"/>
    <mergeCell ref="AF35:AG35"/>
    <mergeCell ref="W38:X38"/>
    <mergeCell ref="AA38:AB38"/>
    <mergeCell ref="AF38:AG38"/>
    <mergeCell ref="W39:X39"/>
    <mergeCell ref="AA39:AB39"/>
    <mergeCell ref="AF39:AG39"/>
    <mergeCell ref="AA31:AB31"/>
    <mergeCell ref="AA32:AB32"/>
    <mergeCell ref="AA33:AB33"/>
    <mergeCell ref="W34:X34"/>
    <mergeCell ref="AA34:AB34"/>
    <mergeCell ref="W35:X35"/>
    <mergeCell ref="AA35:AB35"/>
    <mergeCell ref="W28:X28"/>
    <mergeCell ref="AA28:AB28"/>
    <mergeCell ref="AF28:AG28"/>
    <mergeCell ref="AA29:AB29"/>
    <mergeCell ref="AF29:AG29"/>
    <mergeCell ref="AA30:AB30"/>
    <mergeCell ref="W26:X26"/>
    <mergeCell ref="AA26:AB26"/>
    <mergeCell ref="AF26:AG26"/>
    <mergeCell ref="AK26:AL26"/>
    <mergeCell ref="W27:X27"/>
    <mergeCell ref="AA27:AB27"/>
    <mergeCell ref="AF27:AG27"/>
    <mergeCell ref="AK27:AL27"/>
    <mergeCell ref="W24:X24"/>
    <mergeCell ref="AA24:AB24"/>
    <mergeCell ref="AF24:AG24"/>
    <mergeCell ref="AK24:AL24"/>
    <mergeCell ref="W25:X25"/>
    <mergeCell ref="AA25:AB25"/>
    <mergeCell ref="AF25:AG25"/>
    <mergeCell ref="AK25:AL25"/>
    <mergeCell ref="W22:X22"/>
    <mergeCell ref="AA22:AB22"/>
    <mergeCell ref="AF22:AG22"/>
    <mergeCell ref="AK22:AL22"/>
    <mergeCell ref="W23:X23"/>
    <mergeCell ref="AA23:AB23"/>
    <mergeCell ref="AF23:AG23"/>
    <mergeCell ref="AK23:AL23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88FBF-5AC3-4569-9BDF-A5248E5DC07C}">
  <sheetPr>
    <tabColor rgb="FFFF66FF"/>
  </sheetPr>
  <dimension ref="B1:AE122"/>
  <sheetViews>
    <sheetView view="pageBreakPreview" zoomScale="47" zoomScaleNormal="40" zoomScaleSheetLayoutView="103" workbookViewId="0">
      <selection activeCell="AD23" sqref="AD23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599" t="s">
        <v>1622</v>
      </c>
      <c r="D3" s="600"/>
      <c r="E3" s="600"/>
      <c r="F3" s="600"/>
      <c r="G3" s="600"/>
      <c r="H3" s="600"/>
      <c r="I3" s="600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  <c r="AA3" s="600"/>
      <c r="AB3" s="601"/>
      <c r="AC3" s="430"/>
      <c r="AD3" s="428"/>
      <c r="AE3" s="428"/>
    </row>
    <row r="4" spans="2:31" ht="13.5" customHeight="1" thickBot="1">
      <c r="B4" s="429"/>
      <c r="C4" s="602"/>
      <c r="D4" s="603"/>
      <c r="E4" s="603"/>
      <c r="F4" s="603"/>
      <c r="G4" s="603"/>
      <c r="H4" s="603"/>
      <c r="I4" s="603"/>
      <c r="J4" s="603"/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4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E14C-B0E0-4B0E-AEA2-CF669CF3119A}">
  <sheetPr>
    <tabColor rgb="FF92D050"/>
  </sheetPr>
  <dimension ref="B1:AF122"/>
  <sheetViews>
    <sheetView tabSelected="1" zoomScale="43" zoomScaleNormal="130" zoomScaleSheetLayoutView="40" workbookViewId="0">
      <selection activeCell="AA23" sqref="AA2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05" t="s">
        <v>1623</v>
      </c>
      <c r="E4" s="606"/>
      <c r="F4" s="606"/>
      <c r="G4" s="606"/>
      <c r="H4" s="606"/>
      <c r="I4" s="606"/>
      <c r="J4" s="606"/>
      <c r="K4" s="606"/>
      <c r="L4" s="606"/>
      <c r="M4" s="606"/>
      <c r="N4" s="606"/>
      <c r="O4" s="606"/>
      <c r="P4" s="606"/>
      <c r="Q4" s="606"/>
      <c r="R4" s="606"/>
      <c r="S4" s="606"/>
      <c r="T4" s="606"/>
      <c r="U4" s="606"/>
      <c r="V4" s="606"/>
      <c r="W4" s="606"/>
      <c r="X4" s="606"/>
      <c r="Y4" s="606"/>
      <c r="Z4" s="606"/>
      <c r="AA4" s="606"/>
      <c r="AB4" s="606"/>
      <c r="AC4" s="607"/>
      <c r="AD4" s="206"/>
      <c r="AE4" s="205"/>
      <c r="AF4" s="205"/>
    </row>
    <row r="5" spans="2:32" ht="13.5" customHeight="1" thickBot="1">
      <c r="B5" s="204"/>
      <c r="C5" s="204"/>
      <c r="D5" s="608"/>
      <c r="E5" s="609"/>
      <c r="F5" s="609"/>
      <c r="G5" s="609"/>
      <c r="H5" s="609"/>
      <c r="I5" s="609"/>
      <c r="J5" s="609"/>
      <c r="K5" s="609"/>
      <c r="L5" s="609"/>
      <c r="M5" s="609"/>
      <c r="N5" s="609"/>
      <c r="O5" s="609"/>
      <c r="P5" s="609"/>
      <c r="Q5" s="609"/>
      <c r="R5" s="609"/>
      <c r="S5" s="609"/>
      <c r="T5" s="609"/>
      <c r="U5" s="609"/>
      <c r="V5" s="609"/>
      <c r="W5" s="609"/>
      <c r="X5" s="609"/>
      <c r="Y5" s="609"/>
      <c r="Z5" s="609"/>
      <c r="AA5" s="609"/>
      <c r="AB5" s="609"/>
      <c r="AC5" s="610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2"/>
    </row>
    <row r="76" spans="2:32" ht="15" customHeight="1">
      <c r="F76" s="463"/>
      <c r="N76" s="462"/>
    </row>
    <row r="77" spans="2:32" ht="15" customHeight="1">
      <c r="F77" s="463"/>
      <c r="N77" s="462"/>
    </row>
    <row r="78" spans="2:32" ht="15" customHeight="1">
      <c r="F78" s="463"/>
      <c r="N78" s="462"/>
    </row>
    <row r="79" spans="2:32" ht="15" customHeight="1">
      <c r="F79" s="463"/>
      <c r="N79" s="462"/>
    </row>
    <row r="80" spans="2:32" ht="15" customHeight="1">
      <c r="F80" s="463"/>
      <c r="N80" s="462"/>
    </row>
    <row r="81" spans="6:14" ht="15" customHeight="1">
      <c r="F81" s="463"/>
      <c r="N81" s="462"/>
    </row>
    <row r="82" spans="6:14" ht="15" customHeight="1">
      <c r="F82" s="463"/>
      <c r="N82" s="462"/>
    </row>
    <row r="83" spans="6:14" ht="15" customHeight="1">
      <c r="F83" s="463"/>
      <c r="N83" s="462"/>
    </row>
    <row r="84" spans="6:14" ht="15" customHeight="1">
      <c r="F84" s="463"/>
      <c r="N84" s="462"/>
    </row>
    <row r="85" spans="6:14" ht="15" customHeight="1">
      <c r="F85" s="463"/>
      <c r="N85" s="462"/>
    </row>
    <row r="86" spans="6:14" ht="15" customHeight="1">
      <c r="F86" s="463"/>
      <c r="N86" s="462"/>
    </row>
    <row r="87" spans="6:14" ht="15" customHeight="1">
      <c r="F87" s="463"/>
      <c r="N87" s="462"/>
    </row>
    <row r="88" spans="6:14" ht="15" customHeight="1">
      <c r="F88" s="463"/>
      <c r="N88" s="462"/>
    </row>
    <row r="89" spans="6:14" ht="15" customHeight="1">
      <c r="F89" s="463"/>
      <c r="N89" s="462"/>
    </row>
    <row r="90" spans="6:14" ht="15" customHeight="1">
      <c r="F90" s="463"/>
      <c r="N90" s="462"/>
    </row>
    <row r="91" spans="6:14" ht="15" customHeight="1">
      <c r="F91" s="463"/>
      <c r="N91" s="462"/>
    </row>
    <row r="92" spans="6:14" ht="15" customHeight="1">
      <c r="F92" s="463"/>
      <c r="N92" s="462"/>
    </row>
    <row r="93" spans="6:14" ht="15" customHeight="1">
      <c r="F93" s="463"/>
      <c r="N93" s="462"/>
    </row>
    <row r="94" spans="6:14" ht="15" customHeight="1">
      <c r="F94" s="463"/>
      <c r="N94" s="462"/>
    </row>
    <row r="95" spans="6:14" ht="15" customHeight="1">
      <c r="F95" s="463"/>
      <c r="N95" s="462"/>
    </row>
    <row r="96" spans="6:14" ht="15" customHeight="1">
      <c r="F96" s="463"/>
      <c r="N96" s="462"/>
    </row>
    <row r="97" spans="6:14" ht="15" customHeight="1">
      <c r="F97" s="463"/>
      <c r="N97" s="462"/>
    </row>
    <row r="98" spans="6:14" ht="15" customHeight="1">
      <c r="F98" s="463"/>
    </row>
    <row r="99" spans="6:14" ht="15" customHeight="1">
      <c r="F99" s="463"/>
    </row>
    <row r="100" spans="6:14" ht="15" customHeight="1">
      <c r="F100" s="463"/>
    </row>
    <row r="101" spans="6:14" ht="15" customHeight="1">
      <c r="F101" s="463"/>
    </row>
    <row r="102" spans="6:14" ht="15" customHeight="1">
      <c r="F102" s="463"/>
    </row>
    <row r="103" spans="6:14" ht="15" customHeight="1">
      <c r="F103" s="463"/>
    </row>
    <row r="104" spans="6:14" ht="15" customHeight="1">
      <c r="F104" s="463"/>
    </row>
    <row r="105" spans="6:14" ht="15" customHeight="1">
      <c r="F105" s="463"/>
    </row>
    <row r="106" spans="6:14" ht="15" customHeight="1">
      <c r="F106" s="463"/>
    </row>
    <row r="107" spans="6:14" ht="15" customHeight="1">
      <c r="F107" s="463"/>
    </row>
    <row r="108" spans="6:14" ht="15" customHeight="1">
      <c r="F108" s="463"/>
    </row>
    <row r="109" spans="6:14" ht="15" customHeight="1">
      <c r="F109" s="463"/>
    </row>
    <row r="110" spans="6:14" ht="15" customHeight="1">
      <c r="F110" s="463"/>
    </row>
    <row r="111" spans="6:14" ht="15" customHeight="1">
      <c r="F111" s="463"/>
    </row>
    <row r="112" spans="6:14" ht="15" customHeight="1">
      <c r="F112" s="463"/>
    </row>
    <row r="113" spans="6:6" ht="15" customHeight="1">
      <c r="F113" s="463"/>
    </row>
    <row r="114" spans="6:6" ht="15" customHeight="1">
      <c r="F114" s="463"/>
    </row>
    <row r="115" spans="6:6" ht="15" customHeight="1">
      <c r="F115" s="463"/>
    </row>
    <row r="116" spans="6:6" ht="15" customHeight="1">
      <c r="F116" s="463"/>
    </row>
    <row r="117" spans="6:6" ht="15" customHeight="1">
      <c r="F117" s="463"/>
    </row>
    <row r="118" spans="6:6" ht="15" customHeight="1">
      <c r="F118" s="463"/>
    </row>
    <row r="119" spans="6:6" ht="15" customHeight="1">
      <c r="F119" s="463"/>
    </row>
    <row r="120" spans="6:6" ht="15" customHeight="1">
      <c r="F120" s="463"/>
    </row>
    <row r="121" spans="6:6" ht="15" customHeight="1">
      <c r="F121" s="463"/>
    </row>
    <row r="122" spans="6:6">
      <c r="F122" s="463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2023-10-02T05:15:40Z</dcterms:modified>
</cp:coreProperties>
</file>