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65E4D522-541B-446E-9945-1F14F07C4673}" xr6:coauthVersionLast="47" xr6:coauthVersionMax="47" xr10:uidLastSave="{00000000-0000-0000-0000-000000000000}"/>
  <bookViews>
    <workbookView xWindow="-120" yWindow="-120" windowWidth="20730" windowHeight="11160" tabRatio="859" firstSheet="2" activeTab="5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RAB!$A$1:$K$257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G229" i="11" l="1"/>
  <c r="G230" i="11"/>
  <c r="G231" i="11"/>
  <c r="G232" i="11"/>
  <c r="G233" i="11"/>
  <c r="G234" i="11"/>
  <c r="G235" i="11"/>
  <c r="D229" i="11"/>
  <c r="H229" i="11" s="1"/>
  <c r="E229" i="11"/>
  <c r="D230" i="11"/>
  <c r="J230" i="11" s="1"/>
  <c r="E230" i="11"/>
  <c r="D231" i="11"/>
  <c r="I231" i="11" s="1"/>
  <c r="E231" i="11"/>
  <c r="D232" i="11"/>
  <c r="H232" i="11" s="1"/>
  <c r="E232" i="11"/>
  <c r="D233" i="11"/>
  <c r="H233" i="11" s="1"/>
  <c r="E233" i="11"/>
  <c r="D234" i="11"/>
  <c r="J234" i="11" s="1"/>
  <c r="E234" i="11"/>
  <c r="D235" i="11"/>
  <c r="I235" i="11" s="1"/>
  <c r="E235" i="11"/>
  <c r="F186" i="11"/>
  <c r="F185" i="11"/>
  <c r="F184" i="11"/>
  <c r="F183" i="11"/>
  <c r="F180" i="11"/>
  <c r="F179" i="11"/>
  <c r="F178" i="11"/>
  <c r="F177" i="11"/>
  <c r="F176" i="11"/>
  <c r="F175" i="11"/>
  <c r="F172" i="11"/>
  <c r="F171" i="11"/>
  <c r="F170" i="11"/>
  <c r="F169" i="11"/>
  <c r="F166" i="11"/>
  <c r="F165" i="11"/>
  <c r="F164" i="11"/>
  <c r="F163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D161" i="11"/>
  <c r="H161" i="11" s="1"/>
  <c r="E161" i="11"/>
  <c r="D162" i="11"/>
  <c r="J162" i="11" s="1"/>
  <c r="E162" i="11"/>
  <c r="D163" i="11"/>
  <c r="E163" i="11"/>
  <c r="D164" i="11"/>
  <c r="H164" i="11" s="1"/>
  <c r="E164" i="11"/>
  <c r="D165" i="11"/>
  <c r="H165" i="11" s="1"/>
  <c r="E165" i="11"/>
  <c r="D166" i="11"/>
  <c r="E166" i="11"/>
  <c r="D167" i="11"/>
  <c r="I167" i="11" s="1"/>
  <c r="E167" i="11"/>
  <c r="D168" i="11"/>
  <c r="H168" i="11" s="1"/>
  <c r="E168" i="11"/>
  <c r="D169" i="11"/>
  <c r="H169" i="11" s="1"/>
  <c r="E169" i="11"/>
  <c r="D170" i="11"/>
  <c r="J170" i="11" s="1"/>
  <c r="E170" i="11"/>
  <c r="D171" i="11"/>
  <c r="I171" i="11" s="1"/>
  <c r="E171" i="11"/>
  <c r="D172" i="11"/>
  <c r="H172" i="11" s="1"/>
  <c r="E172" i="11"/>
  <c r="D173" i="11"/>
  <c r="H173" i="11" s="1"/>
  <c r="E173" i="11"/>
  <c r="D174" i="11"/>
  <c r="H174" i="11" s="1"/>
  <c r="E174" i="11"/>
  <c r="D175" i="11"/>
  <c r="E175" i="11"/>
  <c r="D176" i="11"/>
  <c r="H176" i="11" s="1"/>
  <c r="E176" i="11"/>
  <c r="D177" i="11"/>
  <c r="H177" i="11" s="1"/>
  <c r="E177" i="11"/>
  <c r="D178" i="11"/>
  <c r="J178" i="11" s="1"/>
  <c r="E178" i="11"/>
  <c r="D179" i="11"/>
  <c r="I179" i="11" s="1"/>
  <c r="E179" i="11"/>
  <c r="D180" i="11"/>
  <c r="H180" i="11" s="1"/>
  <c r="E180" i="11"/>
  <c r="D181" i="11"/>
  <c r="H181" i="11" s="1"/>
  <c r="E181" i="11"/>
  <c r="D182" i="11"/>
  <c r="J182" i="11" s="1"/>
  <c r="E182" i="11"/>
  <c r="D183" i="11"/>
  <c r="I183" i="11" s="1"/>
  <c r="E183" i="11"/>
  <c r="D184" i="11"/>
  <c r="H184" i="11" s="1"/>
  <c r="E184" i="11"/>
  <c r="D185" i="11"/>
  <c r="H185" i="11" s="1"/>
  <c r="E185" i="11"/>
  <c r="D186" i="11"/>
  <c r="E186" i="11"/>
  <c r="F160" i="11"/>
  <c r="F159" i="11"/>
  <c r="F158" i="11"/>
  <c r="F157" i="11"/>
  <c r="F156" i="11"/>
  <c r="F155" i="11"/>
  <c r="F154" i="11"/>
  <c r="F153" i="11"/>
  <c r="F152" i="11"/>
  <c r="F151" i="11"/>
  <c r="F148" i="11"/>
  <c r="F147" i="11"/>
  <c r="F146" i="11"/>
  <c r="F145" i="11"/>
  <c r="F144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D109" i="11"/>
  <c r="H109" i="11" s="1"/>
  <c r="E109" i="11"/>
  <c r="D110" i="11"/>
  <c r="J110" i="11" s="1"/>
  <c r="E110" i="11"/>
  <c r="D111" i="11"/>
  <c r="I111" i="11" s="1"/>
  <c r="E111" i="11"/>
  <c r="D112" i="11"/>
  <c r="E112" i="11"/>
  <c r="D113" i="11"/>
  <c r="H113" i="11" s="1"/>
  <c r="E113" i="11"/>
  <c r="D114" i="11"/>
  <c r="J114" i="11" s="1"/>
  <c r="E114" i="11"/>
  <c r="D115" i="11"/>
  <c r="E115" i="11"/>
  <c r="D116" i="11"/>
  <c r="H116" i="11" s="1"/>
  <c r="E116" i="11"/>
  <c r="D117" i="11"/>
  <c r="H117" i="11" s="1"/>
  <c r="E117" i="11"/>
  <c r="D118" i="11"/>
  <c r="J118" i="11" s="1"/>
  <c r="E118" i="11"/>
  <c r="D119" i="11"/>
  <c r="E119" i="11"/>
  <c r="D120" i="11"/>
  <c r="H120" i="11" s="1"/>
  <c r="E120" i="11"/>
  <c r="D121" i="11"/>
  <c r="H121" i="11" s="1"/>
  <c r="E121" i="11"/>
  <c r="D122" i="11"/>
  <c r="J122" i="11" s="1"/>
  <c r="E122" i="11"/>
  <c r="D123" i="11"/>
  <c r="E123" i="11"/>
  <c r="D124" i="11"/>
  <c r="H124" i="11" s="1"/>
  <c r="E124" i="11"/>
  <c r="D125" i="11"/>
  <c r="H125" i="11" s="1"/>
  <c r="E125" i="11"/>
  <c r="D126" i="11"/>
  <c r="J126" i="11" s="1"/>
  <c r="E126" i="11"/>
  <c r="D127" i="11"/>
  <c r="I127" i="11" s="1"/>
  <c r="E127" i="11"/>
  <c r="D128" i="11"/>
  <c r="E128" i="11"/>
  <c r="D129" i="11"/>
  <c r="H129" i="11" s="1"/>
  <c r="E129" i="11"/>
  <c r="D130" i="11"/>
  <c r="J130" i="11" s="1"/>
  <c r="E130" i="11"/>
  <c r="D131" i="11"/>
  <c r="E131" i="11"/>
  <c r="D132" i="11"/>
  <c r="H132" i="11" s="1"/>
  <c r="E132" i="11"/>
  <c r="D133" i="11"/>
  <c r="H133" i="11" s="1"/>
  <c r="E133" i="11"/>
  <c r="D134" i="11"/>
  <c r="J134" i="11" s="1"/>
  <c r="E134" i="11"/>
  <c r="D135" i="11"/>
  <c r="E135" i="11"/>
  <c r="D136" i="11"/>
  <c r="H136" i="11" s="1"/>
  <c r="E136" i="11"/>
  <c r="D137" i="11"/>
  <c r="H137" i="11" s="1"/>
  <c r="E137" i="11"/>
  <c r="D138" i="11"/>
  <c r="J138" i="11" s="1"/>
  <c r="E138" i="11"/>
  <c r="D139" i="11"/>
  <c r="E139" i="11"/>
  <c r="D140" i="11"/>
  <c r="H140" i="11" s="1"/>
  <c r="E140" i="11"/>
  <c r="D141" i="11"/>
  <c r="H141" i="11" s="1"/>
  <c r="E141" i="11"/>
  <c r="D142" i="11"/>
  <c r="J142" i="11" s="1"/>
  <c r="E142" i="11"/>
  <c r="D143" i="11"/>
  <c r="I143" i="11" s="1"/>
  <c r="E143" i="11"/>
  <c r="D144" i="11"/>
  <c r="H144" i="11" s="1"/>
  <c r="E144" i="11"/>
  <c r="D145" i="11"/>
  <c r="H145" i="11" s="1"/>
  <c r="E145" i="11"/>
  <c r="D146" i="11"/>
  <c r="J146" i="11" s="1"/>
  <c r="E146" i="11"/>
  <c r="D147" i="11"/>
  <c r="E147" i="11"/>
  <c r="D148" i="11"/>
  <c r="H148" i="11" s="1"/>
  <c r="E148" i="11"/>
  <c r="D149" i="11"/>
  <c r="H149" i="11" s="1"/>
  <c r="E149" i="11"/>
  <c r="D150" i="11"/>
  <c r="J150" i="11" s="1"/>
  <c r="E150" i="11"/>
  <c r="D151" i="11"/>
  <c r="I151" i="11" s="1"/>
  <c r="E151" i="11"/>
  <c r="D152" i="11"/>
  <c r="H152" i="11" s="1"/>
  <c r="E152" i="11"/>
  <c r="D153" i="11"/>
  <c r="H153" i="11" s="1"/>
  <c r="E153" i="11"/>
  <c r="D154" i="11"/>
  <c r="J154" i="11" s="1"/>
  <c r="E154" i="11"/>
  <c r="D155" i="11"/>
  <c r="E155" i="11"/>
  <c r="D156" i="11"/>
  <c r="H156" i="11" s="1"/>
  <c r="E156" i="11"/>
  <c r="D157" i="11"/>
  <c r="H157" i="11" s="1"/>
  <c r="E157" i="11"/>
  <c r="D158" i="11"/>
  <c r="J158" i="11" s="1"/>
  <c r="E158" i="11"/>
  <c r="D159" i="11"/>
  <c r="E159" i="11"/>
  <c r="D160" i="11"/>
  <c r="H160" i="11" s="1"/>
  <c r="E160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G67" i="11"/>
  <c r="G66" i="11"/>
  <c r="D66" i="11"/>
  <c r="E66" i="11"/>
  <c r="D67" i="11"/>
  <c r="I67" i="11" s="1"/>
  <c r="E67" i="11"/>
  <c r="D65" i="11"/>
  <c r="H65" i="11" s="1"/>
  <c r="D68" i="11"/>
  <c r="D69" i="11"/>
  <c r="H69" i="11" s="1"/>
  <c r="G68" i="11"/>
  <c r="G69" i="11"/>
  <c r="G70" i="11"/>
  <c r="G71" i="11"/>
  <c r="G72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4" i="11"/>
  <c r="F63" i="11"/>
  <c r="F62" i="11"/>
  <c r="F61" i="11"/>
  <c r="F60" i="11"/>
  <c r="F59" i="11"/>
  <c r="F58" i="11"/>
  <c r="F57" i="11"/>
  <c r="F56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D54" i="11"/>
  <c r="E54" i="11"/>
  <c r="D55" i="11"/>
  <c r="J55" i="11" s="1"/>
  <c r="E55" i="11"/>
  <c r="D56" i="11"/>
  <c r="E56" i="11"/>
  <c r="D57" i="11"/>
  <c r="H57" i="11" s="1"/>
  <c r="E57" i="11"/>
  <c r="D58" i="11"/>
  <c r="E58" i="11"/>
  <c r="D59" i="11"/>
  <c r="J59" i="11" s="1"/>
  <c r="E59" i="11"/>
  <c r="D60" i="11"/>
  <c r="E60" i="11"/>
  <c r="D61" i="11"/>
  <c r="H61" i="11" s="1"/>
  <c r="E61" i="11"/>
  <c r="D62" i="11"/>
  <c r="E62" i="11"/>
  <c r="D63" i="11"/>
  <c r="J63" i="11" s="1"/>
  <c r="E63" i="11"/>
  <c r="D64" i="11"/>
  <c r="E64" i="11"/>
  <c r="E65" i="11"/>
  <c r="J67" i="11"/>
  <c r="E68" i="11"/>
  <c r="E69" i="11"/>
  <c r="D70" i="11"/>
  <c r="E70" i="11"/>
  <c r="D71" i="11"/>
  <c r="J71" i="11" s="1"/>
  <c r="E71" i="11"/>
  <c r="D72" i="11"/>
  <c r="E72" i="11"/>
  <c r="D73" i="11"/>
  <c r="H73" i="11" s="1"/>
  <c r="E73" i="11"/>
  <c r="D74" i="11"/>
  <c r="E74" i="11"/>
  <c r="D75" i="11"/>
  <c r="J75" i="11" s="1"/>
  <c r="E75" i="11"/>
  <c r="D76" i="11"/>
  <c r="E76" i="11"/>
  <c r="D77" i="11"/>
  <c r="H77" i="11" s="1"/>
  <c r="E77" i="11"/>
  <c r="D78" i="11"/>
  <c r="E78" i="11"/>
  <c r="D79" i="11"/>
  <c r="J79" i="11" s="1"/>
  <c r="E79" i="11"/>
  <c r="D80" i="11"/>
  <c r="E80" i="11"/>
  <c r="D81" i="11"/>
  <c r="H81" i="11" s="1"/>
  <c r="E81" i="11"/>
  <c r="D82" i="11"/>
  <c r="E82" i="11"/>
  <c r="D83" i="11"/>
  <c r="J83" i="11" s="1"/>
  <c r="E83" i="11"/>
  <c r="D84" i="11"/>
  <c r="E84" i="11"/>
  <c r="D85" i="11"/>
  <c r="H85" i="11" s="1"/>
  <c r="E85" i="11"/>
  <c r="D86" i="11"/>
  <c r="E86" i="11"/>
  <c r="D87" i="11"/>
  <c r="J87" i="11" s="1"/>
  <c r="E87" i="11"/>
  <c r="D88" i="11"/>
  <c r="E88" i="11"/>
  <c r="D89" i="11"/>
  <c r="H89" i="11" s="1"/>
  <c r="E89" i="11"/>
  <c r="D90" i="11"/>
  <c r="E90" i="11"/>
  <c r="D91" i="11"/>
  <c r="J91" i="11" s="1"/>
  <c r="E91" i="11"/>
  <c r="D92" i="11"/>
  <c r="E92" i="11"/>
  <c r="D93" i="11"/>
  <c r="H93" i="11" s="1"/>
  <c r="E93" i="11"/>
  <c r="D94" i="11"/>
  <c r="E94" i="11"/>
  <c r="D95" i="11"/>
  <c r="J95" i="11" s="1"/>
  <c r="E95" i="11"/>
  <c r="D96" i="11"/>
  <c r="E96" i="11"/>
  <c r="D97" i="11"/>
  <c r="H97" i="11" s="1"/>
  <c r="E97" i="11"/>
  <c r="D98" i="11"/>
  <c r="E98" i="11"/>
  <c r="D99" i="11"/>
  <c r="J99" i="11" s="1"/>
  <c r="E99" i="11"/>
  <c r="D100" i="11"/>
  <c r="E100" i="11"/>
  <c r="D101" i="11"/>
  <c r="H101" i="11" s="1"/>
  <c r="E101" i="11"/>
  <c r="D102" i="11"/>
  <c r="E102" i="11"/>
  <c r="D103" i="11"/>
  <c r="J103" i="11" s="1"/>
  <c r="E103" i="11"/>
  <c r="D104" i="11"/>
  <c r="E104" i="11"/>
  <c r="D105" i="11"/>
  <c r="H105" i="11" s="1"/>
  <c r="E105" i="11"/>
  <c r="D106" i="11"/>
  <c r="E106" i="11"/>
  <c r="D107" i="11"/>
  <c r="J107" i="11" s="1"/>
  <c r="E107" i="11"/>
  <c r="D108" i="11"/>
  <c r="E108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5" i="11"/>
  <c r="F32" i="11"/>
  <c r="F31" i="11"/>
  <c r="F30" i="11"/>
  <c r="F29" i="11"/>
  <c r="F28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D26" i="11"/>
  <c r="E26" i="11"/>
  <c r="D27" i="11"/>
  <c r="E27" i="11"/>
  <c r="D28" i="11"/>
  <c r="E28" i="11"/>
  <c r="D29" i="11"/>
  <c r="E29" i="11"/>
  <c r="D30" i="11"/>
  <c r="E30" i="11"/>
  <c r="D31" i="11"/>
  <c r="E31" i="11"/>
  <c r="D32" i="11"/>
  <c r="E32" i="11"/>
  <c r="D33" i="11"/>
  <c r="E33" i="11"/>
  <c r="D34" i="11"/>
  <c r="E34" i="11"/>
  <c r="D35" i="11"/>
  <c r="E35" i="11"/>
  <c r="D36" i="11"/>
  <c r="E36" i="11"/>
  <c r="D37" i="11"/>
  <c r="E37" i="11"/>
  <c r="D38" i="11"/>
  <c r="E38" i="11"/>
  <c r="D39" i="11"/>
  <c r="E39" i="11"/>
  <c r="D40" i="11"/>
  <c r="E40" i="11"/>
  <c r="D41" i="11"/>
  <c r="E41" i="11"/>
  <c r="D42" i="11"/>
  <c r="E42" i="11"/>
  <c r="D43" i="11"/>
  <c r="E43" i="11"/>
  <c r="D44" i="11"/>
  <c r="E44" i="11"/>
  <c r="D45" i="11"/>
  <c r="E45" i="11"/>
  <c r="D46" i="11"/>
  <c r="E46" i="11"/>
  <c r="D47" i="11"/>
  <c r="E47" i="11"/>
  <c r="D48" i="11"/>
  <c r="E48" i="11"/>
  <c r="D49" i="11"/>
  <c r="E49" i="11"/>
  <c r="D50" i="11"/>
  <c r="E50" i="11"/>
  <c r="D51" i="11"/>
  <c r="E51" i="11"/>
  <c r="D52" i="11"/>
  <c r="E52" i="11"/>
  <c r="D53" i="11"/>
  <c r="E53" i="11"/>
  <c r="F25" i="11"/>
  <c r="F24" i="11"/>
  <c r="F23" i="11"/>
  <c r="F22" i="11"/>
  <c r="F21" i="11"/>
  <c r="G19" i="11"/>
  <c r="G20" i="11"/>
  <c r="G21" i="11"/>
  <c r="G22" i="11"/>
  <c r="G23" i="11"/>
  <c r="G24" i="11"/>
  <c r="G25" i="11"/>
  <c r="D19" i="11"/>
  <c r="H19" i="11" s="1"/>
  <c r="E19" i="11"/>
  <c r="D20" i="11"/>
  <c r="J20" i="11" s="1"/>
  <c r="E20" i="11"/>
  <c r="D21" i="11"/>
  <c r="E21" i="11"/>
  <c r="D22" i="11"/>
  <c r="H22" i="11" s="1"/>
  <c r="E22" i="11"/>
  <c r="D23" i="11"/>
  <c r="H23" i="11" s="1"/>
  <c r="E23" i="11"/>
  <c r="D24" i="11"/>
  <c r="J24" i="11" s="1"/>
  <c r="E24" i="11"/>
  <c r="D25" i="11"/>
  <c r="I25" i="11" s="1"/>
  <c r="E25" i="11"/>
  <c r="G217" i="11"/>
  <c r="G218" i="11"/>
  <c r="G219" i="11"/>
  <c r="G220" i="11"/>
  <c r="G221" i="11"/>
  <c r="F221" i="11"/>
  <c r="F219" i="11"/>
  <c r="F218" i="11"/>
  <c r="F217" i="11"/>
  <c r="D16" i="11"/>
  <c r="D17" i="11"/>
  <c r="D18" i="11"/>
  <c r="I175" i="11" l="1"/>
  <c r="I234" i="11"/>
  <c r="I230" i="11"/>
  <c r="J229" i="11"/>
  <c r="H234" i="11"/>
  <c r="I233" i="11"/>
  <c r="J232" i="11"/>
  <c r="H230" i="11"/>
  <c r="I229" i="11"/>
  <c r="H235" i="11"/>
  <c r="J233" i="11"/>
  <c r="H231" i="11"/>
  <c r="J235" i="11"/>
  <c r="I232" i="11"/>
  <c r="K232" i="11" s="1"/>
  <c r="J231" i="11"/>
  <c r="J166" i="11"/>
  <c r="J186" i="11"/>
  <c r="I166" i="11"/>
  <c r="J174" i="11"/>
  <c r="I162" i="11"/>
  <c r="I174" i="11"/>
  <c r="H128" i="11"/>
  <c r="H112" i="11"/>
  <c r="I163" i="11"/>
  <c r="I170" i="11"/>
  <c r="I186" i="11"/>
  <c r="J185" i="11"/>
  <c r="H183" i="11"/>
  <c r="I182" i="11"/>
  <c r="J181" i="11"/>
  <c r="H179" i="11"/>
  <c r="I178" i="11"/>
  <c r="J177" i="11"/>
  <c r="H175" i="11"/>
  <c r="J173" i="11"/>
  <c r="H171" i="11"/>
  <c r="J169" i="11"/>
  <c r="H167" i="11"/>
  <c r="J165" i="11"/>
  <c r="H163" i="11"/>
  <c r="J161" i="11"/>
  <c r="H186" i="11"/>
  <c r="I185" i="11"/>
  <c r="J184" i="11"/>
  <c r="H182" i="11"/>
  <c r="I181" i="11"/>
  <c r="J180" i="11"/>
  <c r="H178" i="11"/>
  <c r="I177" i="11"/>
  <c r="J176" i="11"/>
  <c r="I173" i="11"/>
  <c r="J172" i="11"/>
  <c r="H170" i="11"/>
  <c r="I169" i="11"/>
  <c r="J168" i="11"/>
  <c r="H166" i="11"/>
  <c r="I165" i="11"/>
  <c r="J164" i="11"/>
  <c r="H162" i="11"/>
  <c r="I161" i="11"/>
  <c r="I184" i="11"/>
  <c r="J183" i="11"/>
  <c r="I180" i="11"/>
  <c r="J179" i="11"/>
  <c r="I176" i="11"/>
  <c r="J175" i="11"/>
  <c r="I172" i="11"/>
  <c r="J171" i="11"/>
  <c r="I168" i="11"/>
  <c r="J167" i="11"/>
  <c r="I164" i="11"/>
  <c r="J163" i="11"/>
  <c r="I159" i="11"/>
  <c r="I155" i="11"/>
  <c r="I147" i="11"/>
  <c r="I139" i="11"/>
  <c r="I135" i="11"/>
  <c r="I131" i="11"/>
  <c r="I123" i="11"/>
  <c r="I119" i="11"/>
  <c r="I115" i="11"/>
  <c r="H159" i="11"/>
  <c r="I158" i="11"/>
  <c r="J157" i="11"/>
  <c r="H155" i="11"/>
  <c r="I154" i="11"/>
  <c r="J153" i="11"/>
  <c r="H151" i="11"/>
  <c r="I150" i="11"/>
  <c r="J149" i="11"/>
  <c r="H147" i="11"/>
  <c r="I146" i="11"/>
  <c r="J145" i="11"/>
  <c r="H143" i="11"/>
  <c r="I142" i="11"/>
  <c r="J141" i="11"/>
  <c r="H139" i="11"/>
  <c r="I138" i="11"/>
  <c r="J137" i="11"/>
  <c r="H135" i="11"/>
  <c r="I134" i="11"/>
  <c r="J133" i="11"/>
  <c r="H131" i="11"/>
  <c r="I130" i="11"/>
  <c r="J129" i="11"/>
  <c r="H127" i="11"/>
  <c r="I126" i="11"/>
  <c r="J125" i="11"/>
  <c r="H123" i="11"/>
  <c r="I122" i="11"/>
  <c r="J121" i="11"/>
  <c r="H119" i="11"/>
  <c r="I118" i="11"/>
  <c r="J117" i="11"/>
  <c r="H115" i="11"/>
  <c r="I114" i="11"/>
  <c r="J113" i="11"/>
  <c r="H111" i="11"/>
  <c r="I110" i="11"/>
  <c r="J109" i="11"/>
  <c r="J160" i="11"/>
  <c r="H158" i="11"/>
  <c r="I157" i="11"/>
  <c r="J156" i="11"/>
  <c r="H154" i="11"/>
  <c r="I153" i="11"/>
  <c r="J152" i="11"/>
  <c r="H150" i="11"/>
  <c r="I149" i="11"/>
  <c r="J148" i="11"/>
  <c r="H146" i="11"/>
  <c r="I145" i="11"/>
  <c r="J144" i="11"/>
  <c r="H142" i="11"/>
  <c r="I141" i="11"/>
  <c r="J140" i="11"/>
  <c r="H138" i="11"/>
  <c r="I137" i="11"/>
  <c r="J136" i="11"/>
  <c r="H134" i="11"/>
  <c r="I133" i="11"/>
  <c r="J132" i="11"/>
  <c r="H130" i="11"/>
  <c r="I129" i="11"/>
  <c r="J128" i="11"/>
  <c r="H126" i="11"/>
  <c r="I125" i="11"/>
  <c r="J124" i="11"/>
  <c r="H122" i="11"/>
  <c r="I121" i="11"/>
  <c r="J120" i="11"/>
  <c r="H118" i="11"/>
  <c r="I117" i="11"/>
  <c r="J116" i="11"/>
  <c r="H114" i="11"/>
  <c r="I113" i="11"/>
  <c r="J112" i="11"/>
  <c r="H110" i="11"/>
  <c r="I109" i="11"/>
  <c r="I160" i="11"/>
  <c r="J159" i="11"/>
  <c r="I156" i="11"/>
  <c r="J155" i="11"/>
  <c r="I152" i="11"/>
  <c r="J151" i="11"/>
  <c r="I148" i="11"/>
  <c r="J147" i="11"/>
  <c r="I144" i="11"/>
  <c r="J143" i="11"/>
  <c r="I140" i="11"/>
  <c r="J139" i="11"/>
  <c r="I136" i="11"/>
  <c r="J135" i="11"/>
  <c r="I132" i="11"/>
  <c r="J131" i="11"/>
  <c r="I128" i="11"/>
  <c r="J127" i="11"/>
  <c r="I124" i="11"/>
  <c r="J123" i="11"/>
  <c r="I120" i="11"/>
  <c r="J119" i="11"/>
  <c r="I116" i="11"/>
  <c r="J115" i="11"/>
  <c r="I112" i="11"/>
  <c r="J111" i="11"/>
  <c r="I107" i="11"/>
  <c r="I59" i="11"/>
  <c r="I91" i="11"/>
  <c r="I75" i="11"/>
  <c r="I103" i="11"/>
  <c r="I87" i="11"/>
  <c r="I71" i="11"/>
  <c r="I55" i="11"/>
  <c r="I99" i="11"/>
  <c r="I83" i="11"/>
  <c r="I95" i="11"/>
  <c r="I79" i="11"/>
  <c r="I63" i="11"/>
  <c r="I108" i="11"/>
  <c r="J108" i="11"/>
  <c r="H106" i="11"/>
  <c r="I106" i="11"/>
  <c r="I104" i="11"/>
  <c r="J104" i="11"/>
  <c r="H102" i="11"/>
  <c r="I102" i="11"/>
  <c r="I100" i="11"/>
  <c r="J100" i="11"/>
  <c r="H98" i="11"/>
  <c r="I98" i="11"/>
  <c r="I96" i="11"/>
  <c r="J96" i="11"/>
  <c r="H96" i="11"/>
  <c r="H94" i="11"/>
  <c r="J94" i="11"/>
  <c r="I94" i="11"/>
  <c r="I92" i="11"/>
  <c r="J92" i="11"/>
  <c r="H92" i="11"/>
  <c r="H90" i="11"/>
  <c r="I90" i="11"/>
  <c r="J90" i="11"/>
  <c r="I88" i="11"/>
  <c r="J88" i="11"/>
  <c r="H88" i="11"/>
  <c r="H86" i="11"/>
  <c r="J86" i="11"/>
  <c r="I86" i="11"/>
  <c r="I84" i="11"/>
  <c r="J84" i="11"/>
  <c r="H84" i="11"/>
  <c r="H82" i="11"/>
  <c r="I82" i="11"/>
  <c r="J82" i="11"/>
  <c r="I80" i="11"/>
  <c r="J80" i="11"/>
  <c r="H80" i="11"/>
  <c r="H78" i="11"/>
  <c r="J78" i="11"/>
  <c r="I78" i="11"/>
  <c r="I76" i="11"/>
  <c r="J76" i="11"/>
  <c r="H76" i="11"/>
  <c r="H74" i="11"/>
  <c r="I74" i="11"/>
  <c r="J74" i="11"/>
  <c r="I72" i="11"/>
  <c r="J72" i="11"/>
  <c r="H72" i="11"/>
  <c r="H70" i="11"/>
  <c r="J70" i="11"/>
  <c r="I70" i="11"/>
  <c r="I68" i="11"/>
  <c r="J68" i="11"/>
  <c r="H68" i="11"/>
  <c r="H66" i="11"/>
  <c r="I66" i="11"/>
  <c r="J66" i="11"/>
  <c r="I64" i="11"/>
  <c r="J64" i="11"/>
  <c r="H64" i="11"/>
  <c r="H62" i="11"/>
  <c r="I62" i="11"/>
  <c r="J62" i="11"/>
  <c r="I60" i="11"/>
  <c r="J60" i="11"/>
  <c r="H60" i="11"/>
  <c r="H58" i="11"/>
  <c r="I58" i="11"/>
  <c r="J58" i="11"/>
  <c r="I56" i="11"/>
  <c r="J56" i="11"/>
  <c r="H56" i="11"/>
  <c r="H54" i="11"/>
  <c r="I54" i="11"/>
  <c r="J54" i="11"/>
  <c r="H108" i="11"/>
  <c r="J106" i="11"/>
  <c r="H104" i="11"/>
  <c r="J102" i="11"/>
  <c r="H100" i="11"/>
  <c r="J98" i="11"/>
  <c r="H107" i="11"/>
  <c r="J105" i="11"/>
  <c r="H103" i="11"/>
  <c r="J101" i="11"/>
  <c r="H99" i="11"/>
  <c r="J97" i="11"/>
  <c r="H95" i="11"/>
  <c r="J93" i="11"/>
  <c r="H91" i="11"/>
  <c r="J89" i="11"/>
  <c r="H87" i="11"/>
  <c r="J85" i="11"/>
  <c r="H83" i="11"/>
  <c r="J81" i="11"/>
  <c r="H79" i="11"/>
  <c r="J77" i="11"/>
  <c r="H75" i="11"/>
  <c r="J73" i="11"/>
  <c r="H71" i="11"/>
  <c r="J69" i="11"/>
  <c r="H67" i="11"/>
  <c r="K67" i="11" s="1"/>
  <c r="J65" i="11"/>
  <c r="H63" i="11"/>
  <c r="J61" i="11"/>
  <c r="H59" i="11"/>
  <c r="K59" i="11" s="1"/>
  <c r="J57" i="11"/>
  <c r="H55" i="11"/>
  <c r="I105" i="11"/>
  <c r="I101" i="11"/>
  <c r="I97" i="11"/>
  <c r="I93" i="11"/>
  <c r="I89" i="11"/>
  <c r="I85" i="11"/>
  <c r="I81" i="11"/>
  <c r="I77" i="11"/>
  <c r="I73" i="11"/>
  <c r="I69" i="11"/>
  <c r="I65" i="11"/>
  <c r="I61" i="11"/>
  <c r="I57" i="11"/>
  <c r="I52" i="11"/>
  <c r="J52" i="11"/>
  <c r="H52" i="11"/>
  <c r="H50" i="11"/>
  <c r="I50" i="11"/>
  <c r="J50" i="11"/>
  <c r="I48" i="11"/>
  <c r="J48" i="11"/>
  <c r="H48" i="11"/>
  <c r="H46" i="11"/>
  <c r="I46" i="11"/>
  <c r="J46" i="11"/>
  <c r="I44" i="11"/>
  <c r="J44" i="11"/>
  <c r="H44" i="11"/>
  <c r="H42" i="11"/>
  <c r="I42" i="11"/>
  <c r="J42" i="11"/>
  <c r="I40" i="11"/>
  <c r="J40" i="11"/>
  <c r="H40" i="11"/>
  <c r="H38" i="11"/>
  <c r="I38" i="11"/>
  <c r="J38" i="11"/>
  <c r="I36" i="11"/>
  <c r="J36" i="11"/>
  <c r="H36" i="11"/>
  <c r="H34" i="11"/>
  <c r="I34" i="11"/>
  <c r="J34" i="11"/>
  <c r="I32" i="11"/>
  <c r="J32" i="11"/>
  <c r="H32" i="11"/>
  <c r="H30" i="11"/>
  <c r="I30" i="11"/>
  <c r="J30" i="11"/>
  <c r="I28" i="11"/>
  <c r="J28" i="11"/>
  <c r="H28" i="11"/>
  <c r="H26" i="11"/>
  <c r="I26" i="11"/>
  <c r="J26" i="11"/>
  <c r="H53" i="11"/>
  <c r="I53" i="11"/>
  <c r="J53" i="11"/>
  <c r="J51" i="11"/>
  <c r="H51" i="11"/>
  <c r="I51" i="11"/>
  <c r="H49" i="11"/>
  <c r="I49" i="11"/>
  <c r="J49" i="11"/>
  <c r="J47" i="11"/>
  <c r="H47" i="11"/>
  <c r="I47" i="11"/>
  <c r="H45" i="11"/>
  <c r="I45" i="11"/>
  <c r="J45" i="11"/>
  <c r="J43" i="11"/>
  <c r="H43" i="11"/>
  <c r="I43" i="11"/>
  <c r="H41" i="11"/>
  <c r="I41" i="11"/>
  <c r="J41" i="11"/>
  <c r="J39" i="11"/>
  <c r="H39" i="11"/>
  <c r="I39" i="11"/>
  <c r="H37" i="11"/>
  <c r="I37" i="11"/>
  <c r="J37" i="11"/>
  <c r="J35" i="11"/>
  <c r="H35" i="11"/>
  <c r="I35" i="11"/>
  <c r="H33" i="11"/>
  <c r="I33" i="11"/>
  <c r="J33" i="11"/>
  <c r="J31" i="11"/>
  <c r="H31" i="11"/>
  <c r="I31" i="11"/>
  <c r="H29" i="11"/>
  <c r="I29" i="11"/>
  <c r="J29" i="11"/>
  <c r="J27" i="11"/>
  <c r="H27" i="11"/>
  <c r="I27" i="11"/>
  <c r="I21" i="11"/>
  <c r="I20" i="11"/>
  <c r="I24" i="11"/>
  <c r="H21" i="11"/>
  <c r="J19" i="11"/>
  <c r="H25" i="11"/>
  <c r="J23" i="11"/>
  <c r="H24" i="11"/>
  <c r="I23" i="11"/>
  <c r="J22" i="11"/>
  <c r="H20" i="11"/>
  <c r="I19" i="11"/>
  <c r="J25" i="11"/>
  <c r="I22" i="11"/>
  <c r="J21" i="11"/>
  <c r="F228" i="11"/>
  <c r="F227" i="11"/>
  <c r="F226" i="11"/>
  <c r="F225" i="11"/>
  <c r="F224" i="11"/>
  <c r="D221" i="11"/>
  <c r="H221" i="11" s="1"/>
  <c r="E221" i="11"/>
  <c r="G215" i="11"/>
  <c r="G216" i="11"/>
  <c r="G222" i="11"/>
  <c r="G223" i="11"/>
  <c r="G224" i="11"/>
  <c r="G225" i="11"/>
  <c r="G226" i="11"/>
  <c r="G227" i="11"/>
  <c r="G228" i="11"/>
  <c r="G236" i="11"/>
  <c r="D215" i="11"/>
  <c r="H215" i="11" s="1"/>
  <c r="E215" i="11"/>
  <c r="D216" i="11"/>
  <c r="J216" i="11" s="1"/>
  <c r="E216" i="11"/>
  <c r="D217" i="11"/>
  <c r="I217" i="11" s="1"/>
  <c r="E217" i="11"/>
  <c r="D218" i="11"/>
  <c r="E218" i="11"/>
  <c r="D219" i="11"/>
  <c r="E219" i="11"/>
  <c r="D220" i="11"/>
  <c r="E220" i="11"/>
  <c r="D222" i="11"/>
  <c r="I222" i="11" s="1"/>
  <c r="E222" i="11"/>
  <c r="D223" i="11"/>
  <c r="H223" i="11" s="1"/>
  <c r="E223" i="11"/>
  <c r="D224" i="11"/>
  <c r="H224" i="11" s="1"/>
  <c r="E224" i="11"/>
  <c r="D225" i="11"/>
  <c r="J225" i="11" s="1"/>
  <c r="E225" i="11"/>
  <c r="D226" i="11"/>
  <c r="E226" i="11"/>
  <c r="D227" i="11"/>
  <c r="H227" i="11" s="1"/>
  <c r="E227" i="11"/>
  <c r="D228" i="11"/>
  <c r="H228" i="11" s="1"/>
  <c r="E228" i="11"/>
  <c r="D236" i="11"/>
  <c r="J236" i="11" s="1"/>
  <c r="E236" i="11"/>
  <c r="G15" i="11"/>
  <c r="G16" i="11"/>
  <c r="G17" i="11"/>
  <c r="I17" i="11" s="1"/>
  <c r="H17" i="11"/>
  <c r="J17" i="11"/>
  <c r="G18" i="11"/>
  <c r="J18" i="11" s="1"/>
  <c r="H18" i="11"/>
  <c r="I18" i="11"/>
  <c r="K229" i="11" l="1"/>
  <c r="K234" i="11"/>
  <c r="K231" i="11"/>
  <c r="K230" i="11"/>
  <c r="K233" i="11"/>
  <c r="K235" i="11"/>
  <c r="K174" i="11"/>
  <c r="K162" i="11"/>
  <c r="K184" i="11"/>
  <c r="K169" i="11"/>
  <c r="K180" i="11"/>
  <c r="K181" i="11"/>
  <c r="K164" i="11"/>
  <c r="K166" i="11"/>
  <c r="K178" i="11"/>
  <c r="K177" i="11"/>
  <c r="K182" i="11"/>
  <c r="K176" i="11"/>
  <c r="K161" i="11"/>
  <c r="K112" i="11"/>
  <c r="K128" i="11"/>
  <c r="K144" i="11"/>
  <c r="K160" i="11"/>
  <c r="K168" i="11"/>
  <c r="K173" i="11"/>
  <c r="K185" i="11"/>
  <c r="K167" i="11"/>
  <c r="K175" i="11"/>
  <c r="K172" i="11"/>
  <c r="K165" i="11"/>
  <c r="K170" i="11"/>
  <c r="K186" i="11"/>
  <c r="K163" i="11"/>
  <c r="K171" i="11"/>
  <c r="K183" i="11"/>
  <c r="K179" i="11"/>
  <c r="K117" i="11"/>
  <c r="K133" i="11"/>
  <c r="K57" i="11"/>
  <c r="K73" i="11"/>
  <c r="K89" i="11"/>
  <c r="K105" i="11"/>
  <c r="K113" i="11"/>
  <c r="K118" i="11"/>
  <c r="K129" i="11"/>
  <c r="K134" i="11"/>
  <c r="K145" i="11"/>
  <c r="K150" i="11"/>
  <c r="K149" i="11"/>
  <c r="K116" i="11"/>
  <c r="K132" i="11"/>
  <c r="K148" i="11"/>
  <c r="K124" i="11"/>
  <c r="K140" i="11"/>
  <c r="K156" i="11"/>
  <c r="K109" i="11"/>
  <c r="K125" i="11"/>
  <c r="K141" i="11"/>
  <c r="K110" i="11"/>
  <c r="K121" i="11"/>
  <c r="K126" i="11"/>
  <c r="K137" i="11"/>
  <c r="K142" i="11"/>
  <c r="K153" i="11"/>
  <c r="K158" i="11"/>
  <c r="K120" i="11"/>
  <c r="K136" i="11"/>
  <c r="K152" i="11"/>
  <c r="K157" i="11"/>
  <c r="K103" i="11"/>
  <c r="K114" i="11"/>
  <c r="K130" i="11"/>
  <c r="K146" i="11"/>
  <c r="K115" i="11"/>
  <c r="K131" i="11"/>
  <c r="K147" i="11"/>
  <c r="K111" i="11"/>
  <c r="K127" i="11"/>
  <c r="K143" i="11"/>
  <c r="K159" i="11"/>
  <c r="K122" i="11"/>
  <c r="K138" i="11"/>
  <c r="K154" i="11"/>
  <c r="K123" i="11"/>
  <c r="K139" i="11"/>
  <c r="K155" i="11"/>
  <c r="K119" i="11"/>
  <c r="K135" i="11"/>
  <c r="K151" i="11"/>
  <c r="K79" i="11"/>
  <c r="K107" i="11"/>
  <c r="K83" i="11"/>
  <c r="K87" i="11"/>
  <c r="K95" i="11"/>
  <c r="K104" i="11"/>
  <c r="K61" i="11"/>
  <c r="K77" i="11"/>
  <c r="K93" i="11"/>
  <c r="K75" i="11"/>
  <c r="K91" i="11"/>
  <c r="K99" i="11"/>
  <c r="K100" i="11"/>
  <c r="K108" i="11"/>
  <c r="K65" i="11"/>
  <c r="K81" i="11"/>
  <c r="K97" i="11"/>
  <c r="K54" i="11"/>
  <c r="K62" i="11"/>
  <c r="K70" i="11"/>
  <c r="K78" i="11"/>
  <c r="K86" i="11"/>
  <c r="K94" i="11"/>
  <c r="K69" i="11"/>
  <c r="K85" i="11"/>
  <c r="K101" i="11"/>
  <c r="K55" i="11"/>
  <c r="K63" i="11"/>
  <c r="K71" i="11"/>
  <c r="K56" i="11"/>
  <c r="K64" i="11"/>
  <c r="K72" i="11"/>
  <c r="K80" i="11"/>
  <c r="K88" i="11"/>
  <c r="K96" i="11"/>
  <c r="K98" i="11"/>
  <c r="K102" i="11"/>
  <c r="K106" i="11"/>
  <c r="K58" i="11"/>
  <c r="K66" i="11"/>
  <c r="K74" i="11"/>
  <c r="K82" i="11"/>
  <c r="K90" i="11"/>
  <c r="K60" i="11"/>
  <c r="K68" i="11"/>
  <c r="K76" i="11"/>
  <c r="K84" i="11"/>
  <c r="K92" i="11"/>
  <c r="K27" i="11"/>
  <c r="K29" i="11"/>
  <c r="K35" i="11"/>
  <c r="K37" i="11"/>
  <c r="K43" i="11"/>
  <c r="K45" i="11"/>
  <c r="K51" i="11"/>
  <c r="K53" i="11"/>
  <c r="K26" i="11"/>
  <c r="K34" i="11"/>
  <c r="K42" i="11"/>
  <c r="K50" i="11"/>
  <c r="K28" i="11"/>
  <c r="K36" i="11"/>
  <c r="K44" i="11"/>
  <c r="K52" i="11"/>
  <c r="K31" i="11"/>
  <c r="K33" i="11"/>
  <c r="K39" i="11"/>
  <c r="K41" i="11"/>
  <c r="K47" i="11"/>
  <c r="K49" i="11"/>
  <c r="K30" i="11"/>
  <c r="K38" i="11"/>
  <c r="K46" i="11"/>
  <c r="K32" i="11"/>
  <c r="K40" i="11"/>
  <c r="K48" i="11"/>
  <c r="K24" i="11"/>
  <c r="I226" i="11"/>
  <c r="K20" i="11"/>
  <c r="K22" i="11"/>
  <c r="K23" i="11"/>
  <c r="K25" i="11"/>
  <c r="K21" i="11"/>
  <c r="K19" i="11"/>
  <c r="J221" i="11"/>
  <c r="I221" i="11"/>
  <c r="H219" i="11"/>
  <c r="J220" i="11"/>
  <c r="H218" i="11"/>
  <c r="J224" i="11"/>
  <c r="H222" i="11"/>
  <c r="H216" i="11"/>
  <c r="I225" i="11"/>
  <c r="J219" i="11"/>
  <c r="H217" i="11"/>
  <c r="H225" i="11"/>
  <c r="J223" i="11"/>
  <c r="I220" i="11"/>
  <c r="J215" i="11"/>
  <c r="H226" i="11"/>
  <c r="H220" i="11"/>
  <c r="J218" i="11"/>
  <c r="I216" i="11"/>
  <c r="I236" i="11"/>
  <c r="J228" i="11"/>
  <c r="H236" i="11"/>
  <c r="I228" i="11"/>
  <c r="J227" i="11"/>
  <c r="I224" i="11"/>
  <c r="I219" i="11"/>
  <c r="I215" i="11"/>
  <c r="I227" i="11"/>
  <c r="J226" i="11"/>
  <c r="I223" i="11"/>
  <c r="J222" i="11"/>
  <c r="I218" i="11"/>
  <c r="J217" i="11"/>
  <c r="K18" i="11"/>
  <c r="K17" i="11"/>
  <c r="K227" i="11" l="1"/>
  <c r="K224" i="11"/>
  <c r="K221" i="11"/>
  <c r="K220" i="11"/>
  <c r="K218" i="11"/>
  <c r="K228" i="11"/>
  <c r="K226" i="11"/>
  <c r="K225" i="11"/>
  <c r="K223" i="11"/>
  <c r="K219" i="11"/>
  <c r="K217" i="11"/>
  <c r="K222" i="11"/>
  <c r="K215" i="11"/>
  <c r="K236" i="11"/>
  <c r="K216" i="11"/>
  <c r="D8" i="59" l="1"/>
  <c r="G212" i="11"/>
  <c r="G213" i="11"/>
  <c r="D212" i="11"/>
  <c r="E212" i="11"/>
  <c r="D213" i="11"/>
  <c r="E213" i="11"/>
  <c r="E16" i="11"/>
  <c r="E17" i="11"/>
  <c r="E18" i="11"/>
  <c r="H212" i="11" l="1"/>
  <c r="J213" i="11"/>
  <c r="I213" i="11"/>
  <c r="J212" i="11"/>
  <c r="H213" i="11"/>
  <c r="I212" i="11"/>
  <c r="K213" i="11" l="1"/>
  <c r="K212" i="11"/>
  <c r="D214" i="11" l="1"/>
  <c r="H214" i="11" s="1"/>
  <c r="D237" i="11"/>
  <c r="J237" i="11" s="1"/>
  <c r="G214" i="11"/>
  <c r="D15" i="11"/>
  <c r="K6" i="60"/>
  <c r="M238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208" i="11"/>
  <c r="E208" i="11"/>
  <c r="D208" i="11"/>
  <c r="G207" i="11"/>
  <c r="E207" i="11"/>
  <c r="D207" i="11"/>
  <c r="H207" i="11" s="1"/>
  <c r="G206" i="11"/>
  <c r="E206" i="11"/>
  <c r="D206" i="11"/>
  <c r="G205" i="11"/>
  <c r="E205" i="11"/>
  <c r="D205" i="11"/>
  <c r="J205" i="11" s="1"/>
  <c r="G204" i="11"/>
  <c r="E204" i="11"/>
  <c r="D204" i="11"/>
  <c r="I204" i="11" s="1"/>
  <c r="G203" i="11"/>
  <c r="E203" i="11"/>
  <c r="D203" i="11"/>
  <c r="G202" i="11"/>
  <c r="E202" i="11"/>
  <c r="D202" i="11"/>
  <c r="H202" i="11" s="1"/>
  <c r="G201" i="11"/>
  <c r="E201" i="11"/>
  <c r="D201" i="11"/>
  <c r="G200" i="11"/>
  <c r="E200" i="11"/>
  <c r="D200" i="11"/>
  <c r="G199" i="11"/>
  <c r="E199" i="11"/>
  <c r="D199" i="11"/>
  <c r="G198" i="11"/>
  <c r="E198" i="11"/>
  <c r="D198" i="11"/>
  <c r="J198" i="11" s="1"/>
  <c r="G197" i="11"/>
  <c r="E197" i="11"/>
  <c r="D197" i="11"/>
  <c r="J197" i="11" s="1"/>
  <c r="G196" i="11"/>
  <c r="E196" i="11"/>
  <c r="D196" i="11"/>
  <c r="G195" i="11"/>
  <c r="E195" i="11"/>
  <c r="D195" i="11"/>
  <c r="G194" i="11"/>
  <c r="E194" i="11"/>
  <c r="D194" i="11"/>
  <c r="G193" i="11"/>
  <c r="E193" i="11"/>
  <c r="D193" i="11"/>
  <c r="G192" i="11"/>
  <c r="E192" i="11"/>
  <c r="D192" i="11"/>
  <c r="J192" i="11" s="1"/>
  <c r="G191" i="11"/>
  <c r="E191" i="11"/>
  <c r="D191" i="11"/>
  <c r="G190" i="11"/>
  <c r="E190" i="11"/>
  <c r="D190" i="11"/>
  <c r="G189" i="11"/>
  <c r="E189" i="11"/>
  <c r="D189" i="11"/>
  <c r="G188" i="11"/>
  <c r="E188" i="11"/>
  <c r="D188" i="11"/>
  <c r="G187" i="11"/>
  <c r="E187" i="11"/>
  <c r="D187" i="11"/>
  <c r="D14" i="59"/>
  <c r="D5" i="60" s="1"/>
  <c r="K5" i="60" s="1"/>
  <c r="E15" i="11"/>
  <c r="A15" i="11"/>
  <c r="D19" i="59"/>
  <c r="D18" i="59"/>
  <c r="M16" i="11"/>
  <c r="E214" i="11"/>
  <c r="D209" i="11"/>
  <c r="E209" i="11"/>
  <c r="D210" i="11"/>
  <c r="E210" i="11"/>
  <c r="D211" i="11"/>
  <c r="E211" i="11"/>
  <c r="E237" i="11"/>
  <c r="G237" i="11"/>
  <c r="D14" i="11"/>
  <c r="H14" i="11" s="1"/>
  <c r="E14" i="11"/>
  <c r="G14" i="11"/>
  <c r="K19" i="60"/>
  <c r="D19" i="60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D9" i="60" s="1"/>
  <c r="K18" i="60"/>
  <c r="K17" i="60"/>
  <c r="D17" i="60"/>
  <c r="D18" i="60"/>
  <c r="D20" i="60"/>
  <c r="D6" i="60"/>
  <c r="D238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238" i="11"/>
  <c r="D239" i="11"/>
  <c r="E239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239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211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210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238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246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209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223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188" i="11" l="1"/>
  <c r="H15" i="11"/>
  <c r="I15" i="11"/>
  <c r="J15" i="11"/>
  <c r="J16" i="11"/>
  <c r="H16" i="11"/>
  <c r="I16" i="11"/>
  <c r="H211" i="11"/>
  <c r="D312" i="29"/>
  <c r="E312" i="29" s="1"/>
  <c r="D802" i="41"/>
  <c r="E802" i="41" s="1"/>
  <c r="D22" i="59"/>
  <c r="K8" i="60" s="1"/>
  <c r="D21" i="59"/>
  <c r="M224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225" i="11"/>
  <c r="M226" i="11"/>
  <c r="M228" i="11"/>
  <c r="M227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15" i="29"/>
  <c r="F322" i="29"/>
  <c r="F250" i="29"/>
  <c r="E273" i="29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211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209" i="11"/>
  <c r="I209" i="11"/>
  <c r="F806" i="41"/>
  <c r="E1081" i="41"/>
  <c r="E1027" i="41"/>
  <c r="F861" i="41"/>
  <c r="E861" i="41"/>
  <c r="E230" i="29"/>
  <c r="E346" i="29"/>
  <c r="E274" i="29"/>
  <c r="F274" i="29"/>
  <c r="H239" i="11"/>
  <c r="J239" i="11"/>
  <c r="J211" i="11"/>
  <c r="E340" i="29"/>
  <c r="I192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H192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J210" i="11"/>
  <c r="I210" i="11"/>
  <c r="E348" i="29"/>
  <c r="E59" i="39"/>
  <c r="E290" i="29"/>
  <c r="F323" i="29"/>
  <c r="E260" i="29"/>
  <c r="E236" i="29"/>
  <c r="E73" i="39"/>
  <c r="E341" i="29"/>
  <c r="F341" i="29"/>
  <c r="F299" i="29"/>
  <c r="J208" i="11"/>
  <c r="H208" i="11"/>
  <c r="I208" i="11"/>
  <c r="F300" i="29"/>
  <c r="E284" i="29"/>
  <c r="F233" i="29"/>
  <c r="E58" i="39"/>
  <c r="F319" i="29"/>
  <c r="F310" i="29"/>
  <c r="H210" i="11"/>
  <c r="H209" i="11"/>
  <c r="M222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187" i="11"/>
  <c r="H187" i="11"/>
  <c r="H191" i="11"/>
  <c r="J191" i="11"/>
  <c r="I191" i="11"/>
  <c r="J195" i="11"/>
  <c r="I195" i="11"/>
  <c r="H195" i="11"/>
  <c r="J199" i="11"/>
  <c r="H199" i="11"/>
  <c r="I203" i="11"/>
  <c r="J203" i="11"/>
  <c r="H203" i="11"/>
  <c r="I187" i="11"/>
  <c r="I190" i="11"/>
  <c r="H190" i="11"/>
  <c r="J190" i="11"/>
  <c r="I194" i="11"/>
  <c r="J194" i="11"/>
  <c r="H194" i="11"/>
  <c r="H198" i="11"/>
  <c r="I198" i="11"/>
  <c r="I202" i="11"/>
  <c r="J202" i="11"/>
  <c r="I206" i="11"/>
  <c r="H206" i="11"/>
  <c r="J206" i="11"/>
  <c r="I239" i="11"/>
  <c r="J189" i="11"/>
  <c r="H189" i="11"/>
  <c r="I189" i="11"/>
  <c r="J193" i="11"/>
  <c r="H193" i="11"/>
  <c r="I193" i="11"/>
  <c r="I197" i="11"/>
  <c r="H197" i="11"/>
  <c r="J201" i="11"/>
  <c r="H201" i="11"/>
  <c r="I201" i="11"/>
  <c r="H205" i="11"/>
  <c r="I205" i="11"/>
  <c r="I199" i="11"/>
  <c r="H188" i="11"/>
  <c r="J188" i="11"/>
  <c r="I196" i="11"/>
  <c r="H196" i="11"/>
  <c r="J196" i="11"/>
  <c r="J200" i="11"/>
  <c r="H200" i="11"/>
  <c r="I200" i="11"/>
  <c r="J204" i="11"/>
  <c r="H204" i="11"/>
  <c r="I207" i="11"/>
  <c r="I237" i="11"/>
  <c r="J214" i="11"/>
  <c r="J207" i="11"/>
  <c r="H237" i="11"/>
  <c r="I214" i="11"/>
  <c r="F784" i="41" l="1"/>
  <c r="F294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215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K214" i="11"/>
  <c r="K202" i="11"/>
  <c r="M202" i="11" s="1"/>
  <c r="K192" i="11"/>
  <c r="M192" i="11" s="1"/>
  <c r="K211" i="11"/>
  <c r="M211" i="11" s="1"/>
  <c r="M19" i="11"/>
  <c r="M236" i="11"/>
  <c r="K239" i="11"/>
  <c r="K208" i="11"/>
  <c r="M208" i="11" s="1"/>
  <c r="K209" i="11"/>
  <c r="M209" i="11" s="1"/>
  <c r="F350" i="29"/>
  <c r="K205" i="11"/>
  <c r="M205" i="11" s="1"/>
  <c r="K207" i="11"/>
  <c r="M207" i="11" s="1"/>
  <c r="K188" i="11"/>
  <c r="M188" i="11" s="1"/>
  <c r="K198" i="11"/>
  <c r="M198" i="11" s="1"/>
  <c r="K191" i="11"/>
  <c r="M191" i="11" s="1"/>
  <c r="K196" i="11"/>
  <c r="M196" i="11" s="1"/>
  <c r="K210" i="11"/>
  <c r="M210" i="11" s="1"/>
  <c r="K237" i="11"/>
  <c r="K193" i="11"/>
  <c r="M193" i="11" s="1"/>
  <c r="H238" i="11"/>
  <c r="H241" i="11" s="1"/>
  <c r="F312" i="29"/>
  <c r="F339" i="29"/>
  <c r="F226" i="29"/>
  <c r="F345" i="29"/>
  <c r="F239" i="29"/>
  <c r="I238" i="11"/>
  <c r="I241" i="11" s="1"/>
  <c r="J238" i="11"/>
  <c r="J241" i="11" s="1"/>
  <c r="K197" i="11"/>
  <c r="M197" i="11" s="1"/>
  <c r="K206" i="11"/>
  <c r="M206" i="11" s="1"/>
  <c r="K199" i="11"/>
  <c r="M199" i="11" s="1"/>
  <c r="K187" i="11"/>
  <c r="K200" i="11"/>
  <c r="M200" i="11" s="1"/>
  <c r="K203" i="11"/>
  <c r="M203" i="11" s="1"/>
  <c r="K204" i="11"/>
  <c r="M204" i="11" s="1"/>
  <c r="K201" i="11"/>
  <c r="M201" i="11" s="1"/>
  <c r="K189" i="11"/>
  <c r="M189" i="11" s="1"/>
  <c r="K194" i="11"/>
  <c r="M194" i="11" s="1"/>
  <c r="K190" i="11"/>
  <c r="M190" i="11" s="1"/>
  <c r="K195" i="11"/>
  <c r="M195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242" i="11"/>
  <c r="J243" i="11" s="1"/>
  <c r="H242" i="11"/>
  <c r="H243" i="11" s="1"/>
  <c r="I242" i="11"/>
  <c r="I243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G23" i="39"/>
  <c r="D28" i="39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8" i="29"/>
  <c r="D67" i="29"/>
  <c r="D106" i="29"/>
  <c r="D92" i="29"/>
  <c r="D21" i="39"/>
  <c r="B21" i="39"/>
  <c r="E21" i="39" s="1"/>
  <c r="G21" i="39"/>
  <c r="G25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238" i="11"/>
  <c r="K241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124" i="29" l="1"/>
  <c r="E124" i="29" s="1"/>
  <c r="D148" i="29"/>
  <c r="I148" i="29" s="1"/>
  <c r="D90" i="29"/>
  <c r="G18" i="39"/>
  <c r="G77" i="29"/>
  <c r="I30" i="39"/>
  <c r="G133" i="29"/>
  <c r="G29" i="39"/>
  <c r="G24" i="29"/>
  <c r="D124" i="29"/>
  <c r="H124" i="29" s="1"/>
  <c r="D33" i="39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I58" i="29" s="1"/>
  <c r="B33" i="29"/>
  <c r="E33" i="29" s="1"/>
  <c r="G143" i="29"/>
  <c r="B18" i="39"/>
  <c r="E18" i="39" s="1"/>
  <c r="D29" i="39"/>
  <c r="H29" i="39" s="1"/>
  <c r="B28" i="39"/>
  <c r="E28" i="39" s="1"/>
  <c r="D20" i="39"/>
  <c r="J20" i="39" s="1"/>
  <c r="B38" i="29"/>
  <c r="E38" i="29" s="1"/>
  <c r="G85" i="29"/>
  <c r="G115" i="29"/>
  <c r="G58" i="29"/>
  <c r="D122" i="29"/>
  <c r="H122" i="29" s="1"/>
  <c r="D143" i="29"/>
  <c r="I143" i="29" s="1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H23" i="29" s="1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242" i="11"/>
  <c r="K243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92" i="29"/>
  <c r="I92" i="29"/>
  <c r="J92" i="29"/>
  <c r="H138" i="29"/>
  <c r="J138" i="29"/>
  <c r="I138" i="29"/>
  <c r="I90" i="29"/>
  <c r="H90" i="29"/>
  <c r="J90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I81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I33" i="39"/>
  <c r="H33" i="39"/>
  <c r="J33" i="3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J18" i="29"/>
  <c r="I160" i="29"/>
  <c r="H160" i="29"/>
  <c r="J160" i="29"/>
  <c r="J132" i="29"/>
  <c r="I132" i="29"/>
  <c r="H132" i="29"/>
  <c r="I33" i="29"/>
  <c r="H33" i="29"/>
  <c r="J33" i="29"/>
  <c r="I122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J58" i="29" l="1"/>
  <c r="H58" i="29"/>
  <c r="I20" i="29"/>
  <c r="J122" i="29"/>
  <c r="K122" i="29" s="1"/>
  <c r="J113" i="29"/>
  <c r="H113" i="29"/>
  <c r="J143" i="29"/>
  <c r="I29" i="39"/>
  <c r="J85" i="29"/>
  <c r="I124" i="29"/>
  <c r="K124" i="29" s="1"/>
  <c r="H143" i="29"/>
  <c r="K143" i="29" s="1"/>
  <c r="J29" i="39"/>
  <c r="H85" i="29"/>
  <c r="H148" i="29"/>
  <c r="J148" i="29"/>
  <c r="I22" i="39"/>
  <c r="K30" i="39"/>
  <c r="I86" i="29"/>
  <c r="I17" i="39"/>
  <c r="J20" i="29"/>
  <c r="J35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K18" i="29" s="1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J82" i="29"/>
  <c r="H145" i="29"/>
  <c r="I159" i="29"/>
  <c r="J19" i="29"/>
  <c r="H154" i="29"/>
  <c r="H19" i="29"/>
  <c r="H81" i="29"/>
  <c r="K81" i="29" s="1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63" i="29"/>
  <c r="K112" i="29"/>
  <c r="K24" i="29"/>
  <c r="K116" i="29"/>
  <c r="K160" i="29"/>
  <c r="K78" i="29"/>
  <c r="K107" i="29"/>
  <c r="K142" i="29"/>
  <c r="K29" i="29"/>
  <c r="K23" i="29"/>
  <c r="K150" i="29"/>
  <c r="K136" i="29"/>
  <c r="K147" i="29"/>
  <c r="K32" i="39"/>
  <c r="K38" i="29"/>
  <c r="K132" i="29"/>
  <c r="K23" i="39"/>
  <c r="K97" i="29"/>
  <c r="K100" i="29"/>
  <c r="K73" i="29"/>
  <c r="K21" i="29"/>
  <c r="K72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K92" i="29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244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60" i="29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113" i="29" l="1"/>
  <c r="K20" i="29"/>
  <c r="K148" i="29"/>
  <c r="K29" i="39"/>
  <c r="K22" i="39"/>
  <c r="K157" i="29"/>
  <c r="K17" i="39"/>
  <c r="K30" i="29"/>
  <c r="K86" i="29"/>
  <c r="K35" i="29"/>
  <c r="K115" i="29"/>
  <c r="K47" i="29"/>
  <c r="K162" i="29"/>
  <c r="K34" i="3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<sst xmlns="http://schemas.openxmlformats.org/spreadsheetml/2006/main" count="4942" uniqueCount="1661">
  <si>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</si>
  <si>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</si>
  <si>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</si>
  <si>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</si>
  <si>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</si>
  <si>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</si>
  <si>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</si>
  <si>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</si>
  <si>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</si>
  <si>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</si>
  <si>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</si>
  <si>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</si>
  <si>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</si>
  <si>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</si>
  <si>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</si>
  <si>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</si>
  <si>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</si>
  <si>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</si>
  <si>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</si>
  <si>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</si>
  <si>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</si>
  <si>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</si>
  <si>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</si>
  <si>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</si>
  <si>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</si>
  <si>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</si>
  <si>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</si>
  <si>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</si>
  <si>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</si>
  <si>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</si>
  <si>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</si>
  <si>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</si>
  <si>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</si>
  <si>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</si>
  <si>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</si>
  <si>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</si>
  <si>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</si>
  <si>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</si>
  <si>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</si>
  <si>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</si>
  <si>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</si>
  <si>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</si>
  <si>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</si>
  <si>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</si>
  <si>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</si>
  <si>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</si>
  <si>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</si>
  <si>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</si>
  <si>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</si>
  <si>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</si>
  <si>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</si>
  <si>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</si>
  <si>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</si>
  <si>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</si>
  <si>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</si>
  <si>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</si>
  <si>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</si>
  <si>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</si>
  <si>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</si>
  <si>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</si>
  <si>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</si>
  <si>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</si>
  <si>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</si>
  <si>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</si>
  <si>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</si>
  <si>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</si>
  <si>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</si>
  <si>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</si>
  <si>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</si>
  <si>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</si>
  <si>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</si>
  <si>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</si>
  <si>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</si>
  <si>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</si>
  <si>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</si>
  <si>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</si>
  <si>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</si>
  <si>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</si>
  <si>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</si>
  <si>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</si>
  <si>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</si>
  <si>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</si>
  <si>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</si>
  <si>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</si>
  <si>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</si>
  <si>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</si>
  <si>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</si>
  <si>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</si>
  <si>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</si>
  <si>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</si>
  <si>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</si>
  <si>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</si>
  <si>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</si>
  <si>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</si>
  <si>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</si>
  <si>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</si>
  <si>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</si>
  <si>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</si>
  <si>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</si>
  <si>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</si>
  <si>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</si>
  <si>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</si>
  <si>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</si>
  <si>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</si>
  <si>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</si>
  <si>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</si>
  <si>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</si>
  <si>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</si>
  <si>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</si>
  <si>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</si>
  <si>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</si>
  <si>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</si>
  <si>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</si>
  <si>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</si>
  <si>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</si>
  <si>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</si>
  <si>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</si>
  <si>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</si>
  <si>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</si>
  <si>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</si>
  <si>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</si>
  <si>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</si>
  <si>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</si>
  <si>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</si>
  <si>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</si>
  <si>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</si>
  <si>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</si>
  <si>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</si>
  <si>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</si>
  <si>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</si>
  <si>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</si>
  <si>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</si>
  <si>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</si>
  <si>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</si>
  <si>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</si>
  <si>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</si>
  <si>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</si>
  <si>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</si>
  <si>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</si>
  <si>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</si>
  <si>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</si>
  <si>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</si>
  <si>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</si>
  <si>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</si>
  <si>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</si>
  <si>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</si>
  <si>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</si>
  <si>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</si>
  <si>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</si>
  <si>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</si>
  <si>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</si>
  <si>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</si>
  <si>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</si>
  <si>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</si>
  <si>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</si>
  <si>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</si>
  <si>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</si>
  <si>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</si>
  <si>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</si>
  <si>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</si>
  <si>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</si>
  <si>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</si>
  <si>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</si>
  <si>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</si>
  <si>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</si>
  <si>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</si>
  <si>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</si>
  <si>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</si>
  <si>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</si>
  <si>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</si>
  <si>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</si>
  <si>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</si>
  <si>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</si>
  <si>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</si>
  <si>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</si>
  <si>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</si>
  <si>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</si>
  <si>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</si>
  <si>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</si>
  <si>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</si>
  <si>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</si>
  <si>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</si>
  <si>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</si>
  <si>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</si>
  <si>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</si>
  <si>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</si>
  <si>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</si>
  <si>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</si>
  <si>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</si>
  <si>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</si>
  <si>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</si>
  <si>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</si>
  <si>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</si>
  <si>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</si>
  <si>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</si>
  <si>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</si>
  <si>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</si>
  <si>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</si>
  <si>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</si>
  <si>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</si>
  <si>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</si>
  <si>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</si>
  <si>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</si>
  <si>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</si>
  <si>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</si>
  <si>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</si>
  <si>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</si>
  <si>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</si>
  <si>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</si>
  <si>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</si>
  <si>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</si>
  <si>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</si>
  <si>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</si>
  <si>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</si>
  <si>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</si>
  <si>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</si>
  <si>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</si>
  <si>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</si>
  <si>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</si>
  <si>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</si>
  <si>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</si>
  <si>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</si>
  <si>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</si>
  <si>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</si>
  <si>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</si>
  <si>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</si>
  <si>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</si>
  <si>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</si>
  <si>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</si>
  <si>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</si>
  <si>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</si>
  <si>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</si>
  <si>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</si>
  <si>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</si>
  <si>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</si>
  <si>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</si>
  <si>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</si>
  <si>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</si>
  <si>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</si>
  <si>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</si>
  <si>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</si>
  <si>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</si>
  <si>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</si>
  <si>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</si>
  <si>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</si>
  <si>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</si>
  <si>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</si>
  <si>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</si>
  <si>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</si>
  <si>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</si>
  <si>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</si>
  <si>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</si>
  <si>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</si>
  <si>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</si>
  <si>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</si>
  <si>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</si>
  <si>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</si>
  <si>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</si>
  <si>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</si>
  <si>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</si>
  <si>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</si>
  <si>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</si>
  <si>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</si>
  <si>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</si>
  <si>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</si>
  <si>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</si>
  <si>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</si>
  <si>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</si>
  <si>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</si>
  <si>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</si>
  <si>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</si>
  <si>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</si>
  <si>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</si>
  <si>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</si>
  <si>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</si>
  <si>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</si>
  <si>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</si>
  <si>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</si>
  <si>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</si>
  <si>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</si>
  <si>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</si>
  <si>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</si>
  <si>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</si>
  <si>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</si>
  <si>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</si>
  <si>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</si>
  <si>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</si>
  <si>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</si>
  <si>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</si>
  <si>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</si>
  <si>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</si>
  <si>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</si>
  <si>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</si>
  <si>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</si>
  <si>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</si>
  <si>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</si>
  <si>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</si>
  <si>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</si>
  <si>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</si>
  <si>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</si>
  <si>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</si>
  <si>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</si>
  <si>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</si>
  <si>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</si>
  <si>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</si>
  <si>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</si>
  <si>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</si>
  <si>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</si>
  <si>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</si>
  <si>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</si>
  <si>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</si>
  <si>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</si>
  <si>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</si>
  <si>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</si>
  <si>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</si>
  <si>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</si>
  <si>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</si>
  <si>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</si>
  <si>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</si>
  <si>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</si>
  <si>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</si>
  <si>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</si>
  <si>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</si>
  <si>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</si>
  <si>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</si>
  <si>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</si>
  <si>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</si>
  <si>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</si>
  <si>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</si>
  <si>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</si>
  <si>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</si>
  <si>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</si>
  <si>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</si>
  <si>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</si>
  <si>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</si>
  <si>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</si>
  <si>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</si>
  <si>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</si>
  <si>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</si>
  <si>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</si>
  <si>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</si>
  <si>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</si>
  <si>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</si>
  <si>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</si>
  <si>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</si>
  <si>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</si>
  <si>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</si>
  <si>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</si>
  <si>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</si>
  <si>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</si>
  <si>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</si>
  <si>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</si>
  <si>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</si>
  <si>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</si>
  <si>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</si>
  <si>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</si>
  <si>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</si>
  <si>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</si>
  <si>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</si>
  <si>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</si>
  <si>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</si>
  <si>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</si>
  <si>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</si>
  <si>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</si>
  <si>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</si>
  <si>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</si>
  <si>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</si>
  <si>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</si>
  <si>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</si>
  <si>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</si>
  <si>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</si>
  <si>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</si>
  <si>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</si>
  <si>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</si>
  <si>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</si>
  <si>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</si>
  <si>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</si>
  <si>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</si>
  <si>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</si>
  <si>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</si>
  <si>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</si>
  <si>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</si>
  <si>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</si>
  <si>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</si>
  <si>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</si>
  <si>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</si>
  <si>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</si>
  <si>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</si>
  <si>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</si>
  <si>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</si>
  <si>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</si>
  <si>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</si>
  <si>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</si>
  <si>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</si>
  <si>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</si>
  <si>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</si>
  <si>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</si>
  <si>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</si>
  <si>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</si>
  <si>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</si>
  <si>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</si>
  <si>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</si>
  <si>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</si>
  <si>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</si>
  <si>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</si>
  <si>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</si>
  <si>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</si>
  <si>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</si>
  <si>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</si>
  <si>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</si>
  <si>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</si>
  <si>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</si>
  <si>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</si>
  <si>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</si>
  <si>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</si>
  <si>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</si>
  <si>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</si>
  <si>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</si>
  <si>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</si>
  <si>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</si>
  <si>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</si>
  <si>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</si>
  <si>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</si>
  <si>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</si>
  <si>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</si>
  <si>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</si>
  <si>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</si>
  <si>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</si>
  <si>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</si>
  <si>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</si>
  <si>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</si>
  <si>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</si>
  <si>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</si>
  <si>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</si>
  <si>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</si>
  <si>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</si>
  <si>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</si>
  <si>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</si>
  <si>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</si>
  <si>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</si>
  <si>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</si>
  <si>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</si>
  <si>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</si>
  <si>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</si>
  <si>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</si>
  <si>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</si>
  <si>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</si>
  <si>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</si>
  <si>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</si>
  <si>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</si>
  <si>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</si>
  <si>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</si>
  <si>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</si>
  <si>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</si>
  <si>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</si>
  <si>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</si>
  <si>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</si>
  <si>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</si>
  <si>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</si>
  <si>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</si>
  <si>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</si>
  <si>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</si>
  <si>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</si>
  <si>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</si>
  <si>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</si>
  <si>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</si>
  <si>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</si>
  <si>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</si>
  <si>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</si>
  <si>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</si>
  <si>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</si>
  <si>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</si>
  <si>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</si>
  <si>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</si>
  <si>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</si>
  <si>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</si>
  <si>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</si>
  <si>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</si>
  <si>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</si>
  <si>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</si>
  <si>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</si>
  <si>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</si>
  <si>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</si>
  <si>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</si>
  <si>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</si>
  <si>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</si>
  <si>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</si>
  <si>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</si>
  <si>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</si>
  <si>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</si>
  <si>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</si>
  <si>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</si>
  <si>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</si>
  <si>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</si>
  <si>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</si>
  <si>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</si>
  <si>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</si>
  <si>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</si>
  <si>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</si>
  <si>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</si>
  <si>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</si>
  <si>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</si>
  <si>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</si>
  <si>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</si>
  <si>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</si>
  <si>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</si>
  <si>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</si>
  <si>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</si>
  <si>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</si>
  <si>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</si>
  <si>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</si>
  <si>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</si>
  <si>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</si>
  <si>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</si>
  <si>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</si>
  <si>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</si>
  <si>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</si>
  <si>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</si>
  <si>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</si>
  <si>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</si>
  <si>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</si>
  <si>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</si>
  <si>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</si>
  <si>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</si>
  <si>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</si>
  <si>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</si>
  <si>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</si>
  <si>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</si>
  <si>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</si>
  <si>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</si>
  <si>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</si>
  <si>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</si>
  <si>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</si>
  <si>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</si>
  <si>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</si>
  <si>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</si>
  <si>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</si>
  <si>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</si>
  <si>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</si>
  <si>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</si>
  <si>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</si>
  <si>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</si>
  <si>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</si>
  <si>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</si>
  <si>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</si>
  <si>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</si>
  <si>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</si>
  <si>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</si>
  <si>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</si>
  <si>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</si>
  <si>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</si>
  <si>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</si>
  <si>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</si>
  <si>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</si>
  <si>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</si>
  <si>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</si>
  <si>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</si>
  <si>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</si>
  <si>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</si>
  <si>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</si>
  <si>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</si>
  <si>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</si>
  <si>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</si>
  <si>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</si>
  <si>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</si>
  <si>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</si>
  <si>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</si>
  <si>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</si>
  <si>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</si>
  <si>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</si>
  <si>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</si>
  <si>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</si>
  <si>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</si>
  <si>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</si>
  <si>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</si>
  <si>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</si>
  <si>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</si>
  <si>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</si>
  <si>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</si>
  <si>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</si>
  <si>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</si>
  <si>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</si>
  <si>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</si>
  <si>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</si>
  <si>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</si>
  <si>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</si>
  <si>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</si>
  <si>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</si>
  <si>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</si>
  <si>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</si>
  <si>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</si>
  <si>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</si>
  <si>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</si>
  <si>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</si>
  <si>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</si>
  <si>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</si>
  <si>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</si>
  <si>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</si>
  <si>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</si>
  <si>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</si>
  <si>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</si>
  <si>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</si>
  <si>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</si>
  <si>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</si>
  <si>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</si>
  <si>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</si>
  <si>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</si>
  <si>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</si>
  <si>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</si>
  <si>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</si>
  <si>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</si>
  <si>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</si>
  <si>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</si>
  <si>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</si>
  <si>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</si>
  <si>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</si>
  <si>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</si>
  <si>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</si>
  <si>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</si>
  <si>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</si>
  <si>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</si>
  <si>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</si>
  <si>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</si>
  <si>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</si>
  <si>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</si>
  <si>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</si>
  <si>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</si>
  <si>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</si>
  <si>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</si>
  <si>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</si>
  <si>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</si>
  <si>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</si>
  <si>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</si>
  <si>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</si>
  <si>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</si>
  <si>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</si>
  <si>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</si>
  <si>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</si>
  <si>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</si>
  <si>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</si>
  <si>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</si>
  <si>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</si>
  <si>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</si>
  <si>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</si>
  <si>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</si>
  <si>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</si>
  <si>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</si>
  <si>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</si>
  <si>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</si>
  <si>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</si>
  <si>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</si>
  <si>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</si>
  <si>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</si>
  <si>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</si>
  <si>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</si>
  <si>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</si>
  <si>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</si>
  <si>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</si>
  <si>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</si>
  <si>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</si>
  <si>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</si>
  <si>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</si>
  <si>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</si>
  <si>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</si>
  <si>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</si>
  <si>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</si>
  <si>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</si>
  <si>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</si>
  <si>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</si>
  <si>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</si>
  <si>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</si>
  <si>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</si>
  <si>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</si>
  <si>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</si>
  <si>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</si>
  <si>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</si>
  <si>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</si>
  <si>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</si>
  <si>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</si>
  <si>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</si>
  <si>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</si>
  <si>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</si>
  <si>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</si>
  <si>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</si>
  <si>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</si>
  <si>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</si>
  <si>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</si>
  <si>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</si>
  <si>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</si>
  <si>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</si>
  <si>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</si>
  <si>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</si>
  <si>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</si>
  <si>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</si>
  <si>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</si>
  <si>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</si>
  <si>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</si>
  <si>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</si>
  <si>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</si>
  <si>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</si>
  <si>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</si>
  <si>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</si>
  <si>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</si>
  <si>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</si>
  <si>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</si>
  <si>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</si>
  <si>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</si>
  <si>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</si>
  <si>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</si>
  <si>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</si>
  <si>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</si>
  <si>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</si>
  <si>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</si>
  <si>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</si>
  <si>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</si>
  <si>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</si>
  <si>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</si>
  <si>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</si>
  <si>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</si>
  <si>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</si>
  <si>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</si>
  <si>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</si>
  <si>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</si>
  <si>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</si>
  <si>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</si>
  <si>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</si>
  <si>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</si>
  <si>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</si>
  <si>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</si>
  <si>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</si>
  <si>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</si>
  <si>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</si>
  <si>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</si>
  <si>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</si>
  <si>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</si>
  <si>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</si>
  <si>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</si>
  <si>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</si>
  <si>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</si>
  <si>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</si>
  <si>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</si>
  <si>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</si>
  <si>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</si>
  <si>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</si>
  <si>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</si>
  <si>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</si>
  <si>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</si>
  <si>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</si>
  <si>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</si>
  <si>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</si>
  <si>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</si>
  <si>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</si>
  <si>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</si>
  <si>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</si>
  <si>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</si>
  <si>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</si>
  <si>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</si>
  <si>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</si>
  <si>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</si>
  <si>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</si>
  <si>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</si>
  <si>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</si>
  <si>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</si>
  <si>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</si>
  <si>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</si>
  <si>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</si>
  <si>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</si>
  <si>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</si>
  <si>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</si>
  <si>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</si>
  <si>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</si>
  <si>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</si>
  <si>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</si>
  <si>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</si>
  <si>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</si>
  <si>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</si>
  <si>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</si>
  <si>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</si>
  <si>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</si>
  <si>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</si>
  <si>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</si>
  <si>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</si>
  <si>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</si>
  <si>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</si>
  <si>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</si>
  <si>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</si>
  <si>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</si>
  <si>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</si>
  <si>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</si>
  <si>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</si>
  <si>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</si>
  <si>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</si>
  <si>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</si>
  <si>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</si>
  <si>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</si>
  <si>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</si>
  <si>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</si>
  <si>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</si>
  <si>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</si>
  <si>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</si>
  <si>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</si>
  <si>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</si>
  <si>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</si>
  <si>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</si>
  <si>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</si>
  <si>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</si>
  <si>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</si>
  <si>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</si>
  <si>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</si>
  <si>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</si>
  <si>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</si>
  <si>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</si>
  <si>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</si>
  <si>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</si>
  <si>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</si>
  <si>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</si>
  <si>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</si>
  <si>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</si>
  <si>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</si>
  <si>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</si>
  <si>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</si>
  <si>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</si>
  <si>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</si>
  <si>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</si>
  <si>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</si>
  <si>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</si>
  <si>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</si>
  <si>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</si>
  <si>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</si>
  <si>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</si>
  <si>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</si>
  <si>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</si>
  <si>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</si>
  <si>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</si>
  <si>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</si>
  <si>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</si>
  <si>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</si>
  <si>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</si>
  <si>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</si>
  <si>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</si>
  <si>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</si>
  <si>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</si>
  <si>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</si>
  <si>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</si>
  <si>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</si>
  <si>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</si>
  <si>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</si>
  <si>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</si>
  <si>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</si>
  <si>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</si>
  <si>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</si>
  <si>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</si>
  <si>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</si>
  <si>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</si>
  <si>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</si>
  <si>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</si>
  <si>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</si>
  <si>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</si>
  <si>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</si>
  <si>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</si>
  <si>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</si>
  <si>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</si>
  <si>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</si>
  <si>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</si>
  <si>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</si>
  <si>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</si>
  <si>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</si>
  <si>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</si>
  <si>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</si>
  <si>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</si>
  <si>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</si>
  <si>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</si>
  <si>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</si>
  <si>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</si>
  <si>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</si>
  <si>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</si>
  <si>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</si>
  <si>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</si>
  <si>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</si>
  <si>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</si>
  <si>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</si>
  <si>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</si>
  <si>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</si>
  <si>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</si>
  <si>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</si>
  <si>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</si>
  <si>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</si>
  <si>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</si>
  <si>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</si>
  <si>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</si>
  <si>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</si>
  <si>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</si>
  <si>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</si>
  <si>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</si>
  <si>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</si>
  <si>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</si>
  <si>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</si>
  <si>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</si>
  <si>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</si>
  <si>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</si>
  <si>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</si>
  <si>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</si>
  <si>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</si>
  <si>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</si>
  <si>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</si>
  <si>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</si>
  <si>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</si>
  <si>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</si>
  <si>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</si>
  <si>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</si>
  <si>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</si>
  <si>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</si>
  <si>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</si>
  <si>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</si>
  <si>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</si>
  <si>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</si>
  <si>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</si>
  <si>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</si>
  <si>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</si>
  <si>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</si>
  <si>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</si>
  <si>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</si>
  <si>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</si>
  <si>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</si>
  <si>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</si>
  <si>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</si>
  <si>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</si>
  <si>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</si>
  <si>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</si>
  <si>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</si>
  <si>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</si>
  <si>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</si>
  <si>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</si>
  <si>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</si>
  <si>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</si>
  <si>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</si>
  <si>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</si>
  <si>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</si>
  <si>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</si>
  <si>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</si>
  <si>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</si>
  <si>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</si>
  <si>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</si>
  <si>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</si>
  <si>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</si>
  <si>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</si>
  <si>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</si>
  <si>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</si>
  <si>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</si>
  <si>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</si>
  <si>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</si>
  <si>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</si>
  <si>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</si>
  <si>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</si>
  <si>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</si>
  <si>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</si>
  <si>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</si>
  <si>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</si>
  <si>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</si>
  <si>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</si>
  <si>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</si>
  <si>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</si>
  <si>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</si>
  <si>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</si>
  <si>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</si>
  <si>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</si>
  <si>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</si>
  <si>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</si>
  <si>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</si>
  <si>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</si>
  <si>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</si>
  <si>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</si>
  <si>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</si>
  <si>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</si>
  <si>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</si>
  <si>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</si>
  <si>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</si>
  <si>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</si>
  <si>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</si>
  <si>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</si>
  <si>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</si>
  <si>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</si>
  <si>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</si>
  <si>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</si>
  <si>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</si>
  <si>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</si>
  <si>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</si>
  <si>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</si>
  <si>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</si>
  <si>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</si>
  <si>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</si>
  <si>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</si>
  <si>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</si>
  <si>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</si>
  <si>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</si>
  <si>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</si>
  <si>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</si>
  <si>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</si>
  <si>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</si>
  <si>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</si>
  <si>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</si>
  <si>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</si>
  <si>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</si>
  <si>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</si>
  <si>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</si>
  <si>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</si>
  <si>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</si>
  <si>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</si>
  <si>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</si>
  <si>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</si>
  <si>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</si>
  <si>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</si>
  <si>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</si>
  <si>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</si>
  <si>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</si>
  <si>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</si>
  <si>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</si>
  <si>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</si>
  <si>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</si>
  <si>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</si>
  <si>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</si>
  <si>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</si>
  <si>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</si>
  <si>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</si>
  <si>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</si>
  <si>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</si>
  <si>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</si>
  <si>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</si>
  <si>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</si>
  <si>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</si>
  <si>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</si>
  <si>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</si>
  <si>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</si>
  <si>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</si>
  <si>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</si>
  <si>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</si>
  <si>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</si>
  <si>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</si>
  <si>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</si>
  <si>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</si>
  <si>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</si>
  <si>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</si>
  <si>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</si>
  <si>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</si>
  <si>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</si>
  <si>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</si>
  <si>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</si>
  <si>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</si>
  <si>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</si>
  <si>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</si>
  <si>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</si>
  <si>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</si>
  <si>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</si>
  <si>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</si>
  <si>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</si>
  <si>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</si>
  <si>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</si>
  <si>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</si>
  <si>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</si>
  <si>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</si>
  <si>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</si>
  <si>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</si>
  <si>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</si>
  <si>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</si>
  <si>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</si>
  <si>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</si>
  <si>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</si>
  <si>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</si>
  <si>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</si>
  <si>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</si>
  <si>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</si>
  <si>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</si>
  <si>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</si>
  <si>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</si>
  <si>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</si>
  <si>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</si>
  <si>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</si>
  <si>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</si>
  <si>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</si>
  <si>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</si>
  <si>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</si>
  <si>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</si>
  <si>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</si>
  <si>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</si>
  <si>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</si>
  <si>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</si>
  <si>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</si>
  <si>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</si>
  <si>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</si>
  <si>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</si>
  <si>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</si>
  <si>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</si>
  <si>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</si>
  <si>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</si>
  <si>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</si>
  <si>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</si>
  <si>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</si>
  <si>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</si>
  <si>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</si>
  <si>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</si>
  <si>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</si>
  <si>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</si>
  <si>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</si>
  <si>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</si>
  <si>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</si>
  <si>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</si>
  <si>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</si>
  <si>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</si>
  <si>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</si>
  <si>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</si>
  <si>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</si>
  <si>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</si>
  <si>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</si>
  <si>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</si>
  <si>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</si>
  <si>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</si>
  <si>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</si>
  <si>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</si>
  <si>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</si>
  <si>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</si>
  <si>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</si>
  <si>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</si>
  <si>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</si>
  <si>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</si>
  <si>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</si>
  <si>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</si>
  <si>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</si>
  <si>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</si>
  <si>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</si>
  <si>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</si>
  <si>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</si>
  <si>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</si>
  <si>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</si>
  <si>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</si>
  <si>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</si>
  <si>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</si>
  <si>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</si>
  <si>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</si>
  <si>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</si>
  <si>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</si>
  <si>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</si>
  <si>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</si>
  <si>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</si>
  <si>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</si>
  <si>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</si>
  <si>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</si>
  <si>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</si>
  <si>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</si>
  <si>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</si>
  <si>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</si>
  <si>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</si>
  <si>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</si>
  <si>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</si>
  <si>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</si>
  <si>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</si>
  <si>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</si>
  <si>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</si>
  <si>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</si>
  <si>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</si>
  <si>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</si>
  <si>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</si>
  <si>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</si>
  <si>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</si>
  <si>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</si>
  <si>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</si>
  <si>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</si>
  <si>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</si>
  <si>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</si>
  <si>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</si>
  <si>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</si>
  <si>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</si>
  <si>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</si>
  <si>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</si>
  <si>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</si>
  <si>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</si>
  <si>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</si>
  <si>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</si>
  <si>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</si>
  <si>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</si>
  <si>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</si>
  <si>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</si>
  <si>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</si>
  <si>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</si>
  <si>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</si>
  <si>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</si>
  <si>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</si>
  <si>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</si>
  <si>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</si>
  <si>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</si>
  <si>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</si>
  <si>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</si>
  <si>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</si>
  <si>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</si>
  <si>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</si>
  <si>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</si>
  <si>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</si>
  <si>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</si>
  <si>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</si>
  <si>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</si>
  <si>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</si>
  <si>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</si>
  <si>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</si>
  <si>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</si>
  <si>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</si>
  <si>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</si>
  <si>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</si>
  <si>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</si>
  <si>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</si>
  <si>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</si>
  <si>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</si>
  <si>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</si>
  <si>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</si>
  <si>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</si>
  <si>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</si>
  <si>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</si>
  <si>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</si>
  <si>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</si>
  <si>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</si>
  <si>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</si>
  <si>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</si>
  <si>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</si>
  <si>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</si>
  <si>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</si>
  <si>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</si>
  <si>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</si>
  <si>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</si>
  <si>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</si>
  <si>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</si>
  <si>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</si>
  <si>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</si>
  <si>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</si>
  <si>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</si>
  <si>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</si>
  <si>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</si>
  <si>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</si>
  <si>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</si>
  <si>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</si>
  <si>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</si>
  <si>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</si>
  <si>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</si>
  <si>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</si>
  <si>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</si>
  <si>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</si>
  <si>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</si>
  <si>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</si>
  <si>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</si>
  <si>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</si>
  <si>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</si>
  <si>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</si>
  <si>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</si>
  <si>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</si>
  <si>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</si>
  <si>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</si>
  <si>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</si>
  <si>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</si>
  <si>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</si>
  <si>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</si>
  <si>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</si>
  <si>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</si>
  <si>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</si>
  <si>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</si>
  <si>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</si>
  <si>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</si>
  <si>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</si>
  <si>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</si>
  <si>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</si>
  <si>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</si>
  <si>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</si>
  <si>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</si>
  <si>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</si>
  <si>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</si>
  <si>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</si>
  <si>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</si>
  <si>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</si>
  <si>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</si>
  <si>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</si>
  <si>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</si>
  <si>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</si>
  <si>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</si>
  <si>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</si>
  <si>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</si>
  <si>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</si>
  <si>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</si>
  <si>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</si>
  <si>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</si>
  <si>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</si>
  <si>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</si>
  <si>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</si>
  <si>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</si>
  <si>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</si>
  <si>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</si>
  <si>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</si>
  <si>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</si>
  <si>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</si>
  <si>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</si>
  <si>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</si>
  <si>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</si>
  <si>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</si>
  <si>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</si>
  <si>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</si>
  <si>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</si>
  <si>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</si>
  <si>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</si>
  <si>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</si>
  <si>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</si>
  <si>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</si>
  <si>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</si>
  <si>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</si>
  <si>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</si>
  <si>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</si>
  <si>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</si>
  <si>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</si>
  <si>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</si>
  <si>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</si>
  <si>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</si>
  <si>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</si>
  <si>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</si>
  <si>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</si>
  <si>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</si>
  <si>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</si>
  <si>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</si>
  <si>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</si>
  <si>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</si>
  <si>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</si>
  <si>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</si>
  <si>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</si>
  <si>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</si>
  <si>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</si>
  <si>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</si>
  <si>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</si>
  <si>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</si>
  <si>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</si>
  <si>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</si>
  <si>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</si>
  <si>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</si>
  <si>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</si>
  <si>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</si>
  <si>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</si>
  <si>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</si>
  <si>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</si>
  <si>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</si>
  <si>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</si>
  <si>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</si>
  <si>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</si>
  <si>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</si>
  <si>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</si>
  <si>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</si>
  <si>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</si>
  <si>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</si>
  <si>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</si>
  <si>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</si>
  <si>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</si>
  <si>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</si>
  <si>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</si>
  <si>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</si>
  <si>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</si>
  <si>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</si>
  <si>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</si>
  <si>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</si>
  <si>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</si>
  <si>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</si>
  <si>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</si>
  <si>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</si>
  <si>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</si>
  <si>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</si>
  <si>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</si>
  <si>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</si>
  <si>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</si>
  <si>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</si>
  <si>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</si>
  <si>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</si>
  <si>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</si>
  <si>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</si>
  <si>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</si>
  <si>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</si>
  <si>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</si>
  <si>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</si>
  <si>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</si>
  <si>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</si>
  <si>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</si>
  <si>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</si>
  <si>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</si>
  <si>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</si>
  <si>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</si>
  <si>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</si>
  <si>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</si>
  <si>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</si>
  <si>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</si>
  <si>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</si>
  <si>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</si>
  <si>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</si>
  <si>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</si>
  <si>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</si>
  <si>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</si>
  <si>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</si>
  <si>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</si>
  <si>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</si>
  <si>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</si>
  <si>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</si>
  <si>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</si>
  <si>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</si>
  <si>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</si>
  <si>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</si>
  <si>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</si>
  <si>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</si>
  <si>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</si>
  <si>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</si>
  <si>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</si>
  <si>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</si>
  <si>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</si>
  <si>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</si>
  <si>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</si>
  <si>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</si>
  <si>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</si>
  <si>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</si>
  <si>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</si>
  <si>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</si>
  <si>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</si>
  <si>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</si>
  <si>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</si>
  <si>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</si>
  <si>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</si>
  <si>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</si>
  <si>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</si>
  <si>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</si>
  <si>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</si>
  <si>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</si>
  <si>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</si>
  <si>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</si>
  <si>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</si>
  <si>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</si>
  <si>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</si>
  <si>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</si>
  <si>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</si>
  <si>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</si>
  <si>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</si>
  <si>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</si>
  <si>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</si>
  <si>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</si>
  <si>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</si>
  <si>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</si>
  <si>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</si>
  <si>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</si>
  <si>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</si>
  <si>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</si>
  <si>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</si>
  <si>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</si>
  <si>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</si>
  <si>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</si>
  <si>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</si>
  <si>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</si>
  <si>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</si>
  <si>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</si>
  <si>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</si>
  <si>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</si>
  <si>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</si>
  <si>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</si>
  <si>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</si>
  <si>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</si>
  <si>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</si>
  <si>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</si>
  <si>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</si>
  <si>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</si>
  <si>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</si>
  <si>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</si>
  <si>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</si>
  <si>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</si>
  <si>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</si>
  <si>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</si>
  <si>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</si>
  <si>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</si>
  <si>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</si>
  <si>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</si>
  <si>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</si>
  <si>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</si>
  <si>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</si>
  <si>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</si>
  <si>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</si>
  <si>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</si>
  <si>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</si>
  <si>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</si>
  <si>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</si>
  <si>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</si>
  <si>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</si>
  <si>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</si>
  <si>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</si>
  <si>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</si>
  <si>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</si>
  <si>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</si>
  <si>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</si>
  <si>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</si>
  <si>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</si>
  <si>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</si>
  <si>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</si>
  <si>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</si>
  <si>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</si>
  <si>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</si>
  <si>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</si>
  <si>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</si>
  <si>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</si>
  <si>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</si>
  <si>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</si>
  <si>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</si>
  <si>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</si>
  <si>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</si>
  <si>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</si>
  <si>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</si>
  <si>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</si>
  <si>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</si>
  <si>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</si>
  <si>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</si>
  <si>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</si>
  <si>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</si>
  <si>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</si>
  <si>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</si>
  <si>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</si>
  <si>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</si>
  <si>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</si>
  <si>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</si>
  <si>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</si>
  <si>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</si>
  <si>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</si>
  <si>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</si>
  <si>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</si>
  <si>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</si>
  <si>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</si>
  <si>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</si>
  <si>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</si>
  <si>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</si>
  <si>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</si>
  <si>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</si>
  <si>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</si>
  <si>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</si>
  <si>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</si>
  <si>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</si>
  <si>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</si>
  <si>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</si>
  <si>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</si>
  <si>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</si>
  <si>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</si>
  <si>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</si>
  <si>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</si>
  <si>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</si>
  <si>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</si>
  <si>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</si>
  <si>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</si>
  <si>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</si>
  <si>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</si>
  <si>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</si>
  <si>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</si>
  <si>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</si>
  <si>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</si>
  <si>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</si>
  <si>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</si>
  <si>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</si>
  <si>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</si>
  <si>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</si>
  <si>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</si>
  <si>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</si>
  <si>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</si>
  <si>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</si>
  <si>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</si>
  <si>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</si>
  <si>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</si>
  <si>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</si>
  <si>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</si>
  <si>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</si>
  <si>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</si>
  <si>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</si>
  <si>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</si>
  <si>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</si>
  <si>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</si>
  <si>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</si>
  <si>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</si>
  <si>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</si>
  <si>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</si>
  <si>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</si>
  <si>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</si>
  <si>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</si>
  <si>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</si>
  <si>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</si>
  <si>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</si>
  <si>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</si>
  <si>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</si>
  <si>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</si>
  <si>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</si>
  <si>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</si>
  <si>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</si>
  <si>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</si>
  <si>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</si>
  <si>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</si>
  <si>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</si>
  <si>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</si>
  <si>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</si>
  <si>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</si>
  <si>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</si>
  <si>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</si>
  <si>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</si>
  <si>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</si>
  <si>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</si>
  <si>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</si>
  <si>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</si>
  <si>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</si>
  <si>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</si>
  <si>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</si>
  <si>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</si>
  <si>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</si>
  <si>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</si>
  <si>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</si>
  <si>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</si>
  <si>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</si>
  <si>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</si>
  <si>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</si>
  <si>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</si>
  <si>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</si>
  <si>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</si>
  <si>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</si>
  <si>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</si>
  <si>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</si>
  <si>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</si>
  <si>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</si>
  <si>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</si>
  <si>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</si>
  <si>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</si>
  <si>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</si>
  <si>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CJ6-T</t>
  </si>
  <si>
    <t>MTR</t>
  </si>
  <si>
    <t>PB EMI INDRAWATI 66KVA</t>
  </si>
  <si>
    <t>TAMBIREJO</t>
  </si>
  <si>
    <t>B2</t>
  </si>
  <si>
    <t>PWI12</t>
  </si>
  <si>
    <t>K2-746/36</t>
  </si>
  <si>
    <t xml:space="preserve">-7.136544, 110.918596  </t>
  </si>
  <si>
    <t>LVTC 3X70+70</t>
  </si>
  <si>
    <t>SR APP 66 KVA</t>
  </si>
  <si>
    <t>CJ5-T</t>
  </si>
  <si>
    <t>C9-200</t>
  </si>
  <si>
    <t>CC7</t>
  </si>
  <si>
    <t>CC8</t>
  </si>
  <si>
    <t>CC1-A</t>
  </si>
  <si>
    <t>CC2-A</t>
  </si>
  <si>
    <t>P12C-2</t>
  </si>
  <si>
    <t>CA5</t>
  </si>
  <si>
    <t>CM2-12</t>
  </si>
  <si>
    <t>CM2-12A</t>
  </si>
  <si>
    <t>CM2-11M</t>
  </si>
  <si>
    <t>G312-A</t>
  </si>
  <si>
    <t>CE1-2</t>
  </si>
  <si>
    <t>F1-2</t>
  </si>
  <si>
    <t>BTG</t>
  </si>
  <si>
    <t>A3C 70MM</t>
  </si>
  <si>
    <t>CA1</t>
  </si>
  <si>
    <t>CA2</t>
  </si>
  <si>
    <t>CA6</t>
  </si>
  <si>
    <t>CA3</t>
  </si>
  <si>
    <t>Trafo 3 Fasa 100 KVA 1 Tiang (G312-A)</t>
  </si>
  <si>
    <t xml:space="preserve">Jumper Wire : </t>
  </si>
  <si>
    <t>NFA2X-T 3 x 70 + N 50 mm²</t>
  </si>
  <si>
    <t>Stainless Steel Strap 20 X 0.7 mm</t>
  </si>
  <si>
    <t>Isolator Tarik ( Porcelain ) 20 KV + Primary Dead End Clamp 150-240 mm²</t>
  </si>
  <si>
    <t>Daya 66.000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</si>
</sst>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  <font>
      <sz val="11"/>
      <name val="Calibri"/>
      <family val="2"/>
      <charset val="1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8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4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42" fillId="0" borderId="21" xfId="0" applyFont="1" applyBorder="1" applyAlignment="1">
      <alignment horizontal="left" vertical="center" wrapText="1"/>
    </xf>
    <xf numFmtId="0" fontId="112" fillId="0" borderId="21" xfId="1652" applyFont="1" applyBorder="1" applyAlignment="1">
      <alignment vertical="center"/>
    </xf>
    <xf numFmtId="0" fontId="42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173" fillId="0" borderId="20" xfId="1614" applyFont="1" applyBorder="1" applyAlignment="1">
      <alignment horizontal="center" vertical="center"/>
    </xf>
    <xf numFmtId="0" fontId="173" fillId="0" borderId="21" xfId="1614" applyFont="1" applyBorder="1" applyAlignment="1">
      <alignment vertical="center" wrapText="1"/>
    </xf>
    <xf numFmtId="0" fontId="109" fillId="0" borderId="21" xfId="1614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7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3256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4</xdr:col>
      <xdr:colOff>306916</xdr:colOff>
      <xdr:row>20</xdr:row>
      <xdr:rowOff>10584</xdr:rowOff>
    </xdr:from>
    <xdr:to>
      <xdr:col>21</xdr:col>
      <xdr:colOff>162455</xdr:colOff>
      <xdr:row>21</xdr:row>
      <xdr:rowOff>127000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>
          <a:off x="1375833" y="3005667"/>
          <a:ext cx="6332539" cy="2645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6666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4994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48381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340679</xdr:colOff>
      <xdr:row>22</xdr:row>
      <xdr:rowOff>47837</xdr:rowOff>
    </xdr:from>
    <xdr:to>
      <xdr:col>21</xdr:col>
      <xdr:colOff>104231</xdr:colOff>
      <xdr:row>23</xdr:row>
      <xdr:rowOff>44270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7505596" y="3339254"/>
          <a:ext cx="144552" cy="14459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47809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4423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0095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1565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3769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4627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4913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3389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238971</xdr:colOff>
      <xdr:row>17</xdr:row>
      <xdr:rowOff>50589</xdr:rowOff>
    </xdr:from>
    <xdr:to>
      <xdr:col>20</xdr:col>
      <xdr:colOff>2523</xdr:colOff>
      <xdr:row>18</xdr:row>
      <xdr:rowOff>47021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7022888" y="2601172"/>
          <a:ext cx="144552" cy="144599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252941</xdr:colOff>
      <xdr:row>22</xdr:row>
      <xdr:rowOff>127001</xdr:rowOff>
    </xdr:from>
    <xdr:to>
      <xdr:col>21</xdr:col>
      <xdr:colOff>306916</xdr:colOff>
      <xdr:row>22</xdr:row>
      <xdr:rowOff>127861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  <a:stCxn id="213" idx="2"/>
        </xdr:cNvCxnSpPr>
      </xdr:nvCxnSpPr>
      <xdr:spPr bwMode="auto">
        <a:xfrm flipV="1">
          <a:off x="7036858" y="3418418"/>
          <a:ext cx="815975" cy="8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57786</xdr:colOff>
      <xdr:row>23</xdr:row>
      <xdr:rowOff>16300</xdr:rowOff>
    </xdr:from>
    <xdr:to>
      <xdr:col>3</xdr:col>
      <xdr:colOff>246529</xdr:colOff>
      <xdr:row>24</xdr:row>
      <xdr:rowOff>51752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153036" y="3455883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100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19</xdr:col>
      <xdr:colOff>252941</xdr:colOff>
      <xdr:row>22</xdr:row>
      <xdr:rowOff>55561</xdr:rowOff>
    </xdr:from>
    <xdr:to>
      <xdr:col>20</xdr:col>
      <xdr:colOff>16493</xdr:colOff>
      <xdr:row>23</xdr:row>
      <xdr:rowOff>51995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7036858" y="3346978"/>
          <a:ext cx="144552" cy="144600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</xdr:colOff>
      <xdr:row>11</xdr:row>
      <xdr:rowOff>127000</xdr:rowOff>
    </xdr:from>
    <xdr:to>
      <xdr:col>3</xdr:col>
      <xdr:colOff>333926</xdr:colOff>
      <xdr:row>17</xdr:row>
      <xdr:rowOff>76837</xdr:rowOff>
    </xdr:to>
    <xdr:sp macro="" textlink="">
      <xdr:nvSpPr>
        <xdr:cNvPr id="221" name="Rectangle 1">
          <a:extLst>
            <a:ext uri="{FF2B5EF4-FFF2-40B4-BE49-F238E27FC236}">
              <a16:creationId xmlns:a16="http://schemas.microsoft.com/office/drawing/2014/main" id="{9151AC0B-AFC0-4848-9920-E28270958314}"/>
            </a:ext>
          </a:extLst>
        </xdr:cNvPr>
        <xdr:cNvSpPr/>
      </xdr:nvSpPr>
      <xdr:spPr>
        <a:xfrm rot="16200000">
          <a:off x="181462" y="1787039"/>
          <a:ext cx="849420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127001</xdr:colOff>
      <xdr:row>8</xdr:row>
      <xdr:rowOff>8264</xdr:rowOff>
    </xdr:from>
    <xdr:to>
      <xdr:col>5</xdr:col>
      <xdr:colOff>143723</xdr:colOff>
      <xdr:row>18</xdr:row>
      <xdr:rowOff>93467</xdr:rowOff>
    </xdr:to>
    <xdr:cxnSp macro="">
      <xdr:nvCxnSpPr>
        <xdr:cNvPr id="236" name="Straight Connector 164">
          <a:extLst>
            <a:ext uri="{FF2B5EF4-FFF2-40B4-BE49-F238E27FC236}">
              <a16:creationId xmlns:a16="http://schemas.microsoft.com/office/drawing/2014/main" id="{D870C096-FA1E-4A58-B5B5-F559989B22C0}"/>
            </a:ext>
          </a:extLst>
        </xdr:cNvPr>
        <xdr:cNvCxnSpPr>
          <a:cxnSpLocks/>
          <a:endCxn id="345" idx="2"/>
        </xdr:cNvCxnSpPr>
      </xdr:nvCxnSpPr>
      <xdr:spPr bwMode="auto">
        <a:xfrm flipH="1">
          <a:off x="1576918" y="1214764"/>
          <a:ext cx="16722" cy="157745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10</xdr:row>
      <xdr:rowOff>10584</xdr:rowOff>
    </xdr:from>
    <xdr:to>
      <xdr:col>2</xdr:col>
      <xdr:colOff>424885</xdr:colOff>
      <xdr:row>10</xdr:row>
      <xdr:rowOff>73109</xdr:rowOff>
    </xdr:to>
    <xdr:grpSp>
      <xdr:nvGrpSpPr>
        <xdr:cNvPr id="239" name="Grup 244">
          <a:extLst>
            <a:ext uri="{FF2B5EF4-FFF2-40B4-BE49-F238E27FC236}">
              <a16:creationId xmlns:a16="http://schemas.microsoft.com/office/drawing/2014/main" id="{2515D85E-BE6F-44D5-93B6-83CCCED23B4A}"/>
            </a:ext>
          </a:extLst>
        </xdr:cNvPr>
        <xdr:cNvGrpSpPr/>
      </xdr:nvGrpSpPr>
      <xdr:grpSpPr>
        <a:xfrm>
          <a:off x="476250" y="1513417"/>
          <a:ext cx="139135" cy="62525"/>
          <a:chOff x="13302191" y="2320613"/>
          <a:chExt cx="139135" cy="57233"/>
        </a:xfrm>
      </xdr:grpSpPr>
      <xdr:cxnSp macro="">
        <xdr:nvCxnSpPr>
          <xdr:cNvPr id="240" name="Straight Connector 81">
            <a:extLst>
              <a:ext uri="{FF2B5EF4-FFF2-40B4-BE49-F238E27FC236}">
                <a16:creationId xmlns:a16="http://schemas.microsoft.com/office/drawing/2014/main" id="{5E8BC39E-577B-A89E-9C1D-C23E29A97E9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82">
            <a:extLst>
              <a:ext uri="{FF2B5EF4-FFF2-40B4-BE49-F238E27FC236}">
                <a16:creationId xmlns:a16="http://schemas.microsoft.com/office/drawing/2014/main" id="{9129F7C2-0CA2-B6F6-3EBE-2D77A5703EA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83">
            <a:extLst>
              <a:ext uri="{FF2B5EF4-FFF2-40B4-BE49-F238E27FC236}">
                <a16:creationId xmlns:a16="http://schemas.microsoft.com/office/drawing/2014/main" id="{DFC63EA9-439C-3D9F-D595-058D0C64804D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84">
            <a:extLst>
              <a:ext uri="{FF2B5EF4-FFF2-40B4-BE49-F238E27FC236}">
                <a16:creationId xmlns:a16="http://schemas.microsoft.com/office/drawing/2014/main" id="{1EECA40F-4A33-83E7-1FA5-409E2BC254B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21167</xdr:colOff>
      <xdr:row>24</xdr:row>
      <xdr:rowOff>10583</xdr:rowOff>
    </xdr:from>
    <xdr:to>
      <xdr:col>21</xdr:col>
      <xdr:colOff>63500</xdr:colOff>
      <xdr:row>26</xdr:row>
      <xdr:rowOff>137584</xdr:rowOff>
    </xdr:to>
    <xdr:sp macro="" textlink="">
      <xdr:nvSpPr>
        <xdr:cNvPr id="245" name="TextBox 157">
          <a:extLst>
            <a:ext uri="{FF2B5EF4-FFF2-40B4-BE49-F238E27FC236}">
              <a16:creationId xmlns:a16="http://schemas.microsoft.com/office/drawing/2014/main" id="{6D08A632-953A-401E-836D-E9F413D7B439}"/>
            </a:ext>
          </a:extLst>
        </xdr:cNvPr>
        <xdr:cNvSpPr txBox="1"/>
      </xdr:nvSpPr>
      <xdr:spPr>
        <a:xfrm>
          <a:off x="6805084" y="3598333"/>
          <a:ext cx="804333" cy="42333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CC8-A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371476</xdr:colOff>
      <xdr:row>20</xdr:row>
      <xdr:rowOff>62442</xdr:rowOff>
    </xdr:from>
    <xdr:to>
      <xdr:col>4</xdr:col>
      <xdr:colOff>221192</xdr:colOff>
      <xdr:row>35</xdr:row>
      <xdr:rowOff>125942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BD4F7C1-FCD7-403A-9C3B-D6C4986840F4}"/>
            </a:ext>
          </a:extLst>
        </xdr:cNvPr>
        <xdr:cNvSpPr txBox="1"/>
      </xdr:nvSpPr>
      <xdr:spPr>
        <a:xfrm rot="5985542">
          <a:off x="31751" y="4085167"/>
          <a:ext cx="2286000" cy="23071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19</xdr:col>
      <xdr:colOff>325217</xdr:colOff>
      <xdr:row>14</xdr:row>
      <xdr:rowOff>42334</xdr:rowOff>
    </xdr:from>
    <xdr:to>
      <xdr:col>19</xdr:col>
      <xdr:colOff>328083</xdr:colOff>
      <xdr:row>22</xdr:row>
      <xdr:rowOff>55561</xdr:rowOff>
    </xdr:to>
    <xdr:cxnSp macro="">
      <xdr:nvCxnSpPr>
        <xdr:cNvPr id="193" name="Straight Connector 139">
          <a:extLst>
            <a:ext uri="{FF2B5EF4-FFF2-40B4-BE49-F238E27FC236}">
              <a16:creationId xmlns:a16="http://schemas.microsoft.com/office/drawing/2014/main" id="{B90079D6-A503-470C-9FD1-5B1A5AD0C843}"/>
            </a:ext>
          </a:extLst>
        </xdr:cNvPr>
        <xdr:cNvCxnSpPr>
          <a:cxnSpLocks/>
          <a:stCxn id="213" idx="0"/>
        </xdr:cNvCxnSpPr>
      </xdr:nvCxnSpPr>
      <xdr:spPr bwMode="auto">
        <a:xfrm flipV="1">
          <a:off x="7109134" y="2148417"/>
          <a:ext cx="2866" cy="119856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57459</xdr:colOff>
      <xdr:row>23</xdr:row>
      <xdr:rowOff>42335</xdr:rowOff>
    </xdr:from>
    <xdr:to>
      <xdr:col>19</xdr:col>
      <xdr:colOff>342435</xdr:colOff>
      <xdr:row>23</xdr:row>
      <xdr:rowOff>55699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63EC3B5-71FD-417A-ABA0-90220CA339FE}"/>
            </a:ext>
          </a:extLst>
        </xdr:cNvPr>
        <xdr:cNvCxnSpPr>
          <a:stCxn id="268" idx="4"/>
        </xdr:cNvCxnSpPr>
      </xdr:nvCxnSpPr>
      <xdr:spPr>
        <a:xfrm flipV="1">
          <a:off x="1507376" y="3481918"/>
          <a:ext cx="5618976" cy="13364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158750</xdr:colOff>
      <xdr:row>22</xdr:row>
      <xdr:rowOff>52916</xdr:rowOff>
    </xdr:from>
    <xdr:to>
      <xdr:col>18</xdr:col>
      <xdr:colOff>303302</xdr:colOff>
      <xdr:row>23</xdr:row>
      <xdr:rowOff>49349</xdr:rowOff>
    </xdr:to>
    <xdr:grpSp>
      <xdr:nvGrpSpPr>
        <xdr:cNvPr id="200" name="Group 13">
          <a:extLst>
            <a:ext uri="{FF2B5EF4-FFF2-40B4-BE49-F238E27FC236}">
              <a16:creationId xmlns:a16="http://schemas.microsoft.com/office/drawing/2014/main" id="{A57C90F7-5671-41BB-85D9-E9881AB080E4}"/>
            </a:ext>
          </a:extLst>
        </xdr:cNvPr>
        <xdr:cNvGrpSpPr/>
      </xdr:nvGrpSpPr>
      <xdr:grpSpPr>
        <a:xfrm>
          <a:off x="6561667" y="3344333"/>
          <a:ext cx="144552" cy="144599"/>
          <a:chOff x="9937028" y="802652"/>
          <a:chExt cx="83991" cy="77961"/>
        </a:xfrm>
      </xdr:grpSpPr>
      <xdr:sp macro="" textlink="">
        <xdr:nvSpPr>
          <xdr:cNvPr id="201" name="Oval 1">
            <a:extLst>
              <a:ext uri="{FF2B5EF4-FFF2-40B4-BE49-F238E27FC236}">
                <a16:creationId xmlns:a16="http://schemas.microsoft.com/office/drawing/2014/main" id="{0087B906-1945-3813-C6ED-D251BC0B29C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1" name="Straight Connector 3">
            <a:extLst>
              <a:ext uri="{FF2B5EF4-FFF2-40B4-BE49-F238E27FC236}">
                <a16:creationId xmlns:a16="http://schemas.microsoft.com/office/drawing/2014/main" id="{E5227DF8-7D9C-5FF4-C3F6-A439901B39E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7">
            <a:extLst>
              <a:ext uri="{FF2B5EF4-FFF2-40B4-BE49-F238E27FC236}">
                <a16:creationId xmlns:a16="http://schemas.microsoft.com/office/drawing/2014/main" id="{85B2D796-FB8E-CAC5-FB39-16834EE677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268817</xdr:colOff>
      <xdr:row>22</xdr:row>
      <xdr:rowOff>46567</xdr:rowOff>
    </xdr:from>
    <xdr:to>
      <xdr:col>16</xdr:col>
      <xdr:colOff>32369</xdr:colOff>
      <xdr:row>23</xdr:row>
      <xdr:rowOff>43000</xdr:rowOff>
    </xdr:to>
    <xdr:grpSp>
      <xdr:nvGrpSpPr>
        <xdr:cNvPr id="217" name="Group 13">
          <a:extLst>
            <a:ext uri="{FF2B5EF4-FFF2-40B4-BE49-F238E27FC236}">
              <a16:creationId xmlns:a16="http://schemas.microsoft.com/office/drawing/2014/main" id="{8726A413-D387-41AD-9FAF-BA9060DFCA12}"/>
            </a:ext>
          </a:extLst>
        </xdr:cNvPr>
        <xdr:cNvGrpSpPr/>
      </xdr:nvGrpSpPr>
      <xdr:grpSpPr>
        <a:xfrm>
          <a:off x="5528734" y="3337984"/>
          <a:ext cx="144552" cy="144599"/>
          <a:chOff x="9937028" y="802652"/>
          <a:chExt cx="83991" cy="77961"/>
        </a:xfrm>
      </xdr:grpSpPr>
      <xdr:sp macro="" textlink="">
        <xdr:nvSpPr>
          <xdr:cNvPr id="218" name="Oval 1">
            <a:extLst>
              <a:ext uri="{FF2B5EF4-FFF2-40B4-BE49-F238E27FC236}">
                <a16:creationId xmlns:a16="http://schemas.microsoft.com/office/drawing/2014/main" id="{773EFEF0-F2A1-8645-9CE1-6C9FD686CF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9" name="Straight Connector 3">
            <a:extLst>
              <a:ext uri="{FF2B5EF4-FFF2-40B4-BE49-F238E27FC236}">
                <a16:creationId xmlns:a16="http://schemas.microsoft.com/office/drawing/2014/main" id="{B49F526B-9BCF-264C-F741-B7A40B44A62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7">
            <a:extLst>
              <a:ext uri="{FF2B5EF4-FFF2-40B4-BE49-F238E27FC236}">
                <a16:creationId xmlns:a16="http://schemas.microsoft.com/office/drawing/2014/main" id="{8BB88AE2-1DB8-A506-B203-435B5026564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146050</xdr:colOff>
      <xdr:row>22</xdr:row>
      <xdr:rowOff>61383</xdr:rowOff>
    </xdr:from>
    <xdr:to>
      <xdr:col>14</xdr:col>
      <xdr:colOff>290602</xdr:colOff>
      <xdr:row>23</xdr:row>
      <xdr:rowOff>57816</xdr:rowOff>
    </xdr:to>
    <xdr:grpSp>
      <xdr:nvGrpSpPr>
        <xdr:cNvPr id="222" name="Group 13">
          <a:extLst>
            <a:ext uri="{FF2B5EF4-FFF2-40B4-BE49-F238E27FC236}">
              <a16:creationId xmlns:a16="http://schemas.microsoft.com/office/drawing/2014/main" id="{32CBBB49-613A-40CD-9DDA-AECB54D61A52}"/>
            </a:ext>
          </a:extLst>
        </xdr:cNvPr>
        <xdr:cNvGrpSpPr/>
      </xdr:nvGrpSpPr>
      <xdr:grpSpPr>
        <a:xfrm>
          <a:off x="5024967" y="3352800"/>
          <a:ext cx="144552" cy="144599"/>
          <a:chOff x="9937028" y="802652"/>
          <a:chExt cx="83991" cy="77961"/>
        </a:xfrm>
      </xdr:grpSpPr>
      <xdr:sp macro="" textlink="">
        <xdr:nvSpPr>
          <xdr:cNvPr id="223" name="Oval 1">
            <a:extLst>
              <a:ext uri="{FF2B5EF4-FFF2-40B4-BE49-F238E27FC236}">
                <a16:creationId xmlns:a16="http://schemas.microsoft.com/office/drawing/2014/main" id="{CBA5A33D-4333-05E3-AB6A-63B556BC2FC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4" name="Straight Connector 3">
            <a:extLst>
              <a:ext uri="{FF2B5EF4-FFF2-40B4-BE49-F238E27FC236}">
                <a16:creationId xmlns:a16="http://schemas.microsoft.com/office/drawing/2014/main" id="{62D5440E-0360-B43D-1244-6D0A4B7C54F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7">
            <a:extLst>
              <a:ext uri="{FF2B5EF4-FFF2-40B4-BE49-F238E27FC236}">
                <a16:creationId xmlns:a16="http://schemas.microsoft.com/office/drawing/2014/main" id="{35B1271C-CEA9-07EC-FFA7-BBB9A8A9B0F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23284</xdr:colOff>
      <xdr:row>22</xdr:row>
      <xdr:rowOff>55034</xdr:rowOff>
    </xdr:from>
    <xdr:to>
      <xdr:col>13</xdr:col>
      <xdr:colOff>167836</xdr:colOff>
      <xdr:row>23</xdr:row>
      <xdr:rowOff>51467</xdr:rowOff>
    </xdr:to>
    <xdr:grpSp>
      <xdr:nvGrpSpPr>
        <xdr:cNvPr id="235" name="Group 13">
          <a:extLst>
            <a:ext uri="{FF2B5EF4-FFF2-40B4-BE49-F238E27FC236}">
              <a16:creationId xmlns:a16="http://schemas.microsoft.com/office/drawing/2014/main" id="{7AB9B1DB-9A17-49BF-B075-FAAE4916AF45}"/>
            </a:ext>
          </a:extLst>
        </xdr:cNvPr>
        <xdr:cNvGrpSpPr/>
      </xdr:nvGrpSpPr>
      <xdr:grpSpPr>
        <a:xfrm>
          <a:off x="4521201" y="3346451"/>
          <a:ext cx="144552" cy="144599"/>
          <a:chOff x="9937028" y="802652"/>
          <a:chExt cx="83991" cy="77961"/>
        </a:xfrm>
      </xdr:grpSpPr>
      <xdr:sp macro="" textlink="">
        <xdr:nvSpPr>
          <xdr:cNvPr id="237" name="Oval 1">
            <a:extLst>
              <a:ext uri="{FF2B5EF4-FFF2-40B4-BE49-F238E27FC236}">
                <a16:creationId xmlns:a16="http://schemas.microsoft.com/office/drawing/2014/main" id="{55F7654F-4567-AFFD-A4ED-D0BD1476FEA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8" name="Straight Connector 3">
            <a:extLst>
              <a:ext uri="{FF2B5EF4-FFF2-40B4-BE49-F238E27FC236}">
                <a16:creationId xmlns:a16="http://schemas.microsoft.com/office/drawing/2014/main" id="{215ACA39-D3E2-7855-BE4B-7908CFE29AA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7">
            <a:extLst>
              <a:ext uri="{FF2B5EF4-FFF2-40B4-BE49-F238E27FC236}">
                <a16:creationId xmlns:a16="http://schemas.microsoft.com/office/drawing/2014/main" id="{A73D57CB-192D-5423-7223-0B8B13D84E8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270934</xdr:colOff>
      <xdr:row>22</xdr:row>
      <xdr:rowOff>48683</xdr:rowOff>
    </xdr:from>
    <xdr:to>
      <xdr:col>12</xdr:col>
      <xdr:colOff>34486</xdr:colOff>
      <xdr:row>23</xdr:row>
      <xdr:rowOff>45116</xdr:rowOff>
    </xdr:to>
    <xdr:grpSp>
      <xdr:nvGrpSpPr>
        <xdr:cNvPr id="247" name="Group 13">
          <a:extLst>
            <a:ext uri="{FF2B5EF4-FFF2-40B4-BE49-F238E27FC236}">
              <a16:creationId xmlns:a16="http://schemas.microsoft.com/office/drawing/2014/main" id="{31860615-64CD-4098-A009-C9216B839337}"/>
            </a:ext>
          </a:extLst>
        </xdr:cNvPr>
        <xdr:cNvGrpSpPr/>
      </xdr:nvGrpSpPr>
      <xdr:grpSpPr>
        <a:xfrm>
          <a:off x="4006851" y="3340100"/>
          <a:ext cx="144552" cy="144599"/>
          <a:chOff x="9937028" y="802652"/>
          <a:chExt cx="83991" cy="77961"/>
        </a:xfrm>
      </xdr:grpSpPr>
      <xdr:sp macro="" textlink="">
        <xdr:nvSpPr>
          <xdr:cNvPr id="248" name="Oval 1">
            <a:extLst>
              <a:ext uri="{FF2B5EF4-FFF2-40B4-BE49-F238E27FC236}">
                <a16:creationId xmlns:a16="http://schemas.microsoft.com/office/drawing/2014/main" id="{70380DE9-9010-EFB8-FF11-29D2D414CCD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9" name="Straight Connector 3">
            <a:extLst>
              <a:ext uri="{FF2B5EF4-FFF2-40B4-BE49-F238E27FC236}">
                <a16:creationId xmlns:a16="http://schemas.microsoft.com/office/drawing/2014/main" id="{94E10722-F55C-185B-C693-19A7AA2AAB2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7">
            <a:extLst>
              <a:ext uri="{FF2B5EF4-FFF2-40B4-BE49-F238E27FC236}">
                <a16:creationId xmlns:a16="http://schemas.microsoft.com/office/drawing/2014/main" id="{F445322F-6E4D-9192-C183-E7FD182DDFC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105833</xdr:colOff>
      <xdr:row>22</xdr:row>
      <xdr:rowOff>52917</xdr:rowOff>
    </xdr:from>
    <xdr:to>
      <xdr:col>10</xdr:col>
      <xdr:colOff>250385</xdr:colOff>
      <xdr:row>23</xdr:row>
      <xdr:rowOff>49350</xdr:rowOff>
    </xdr:to>
    <xdr:grpSp>
      <xdr:nvGrpSpPr>
        <xdr:cNvPr id="251" name="Group 13">
          <a:extLst>
            <a:ext uri="{FF2B5EF4-FFF2-40B4-BE49-F238E27FC236}">
              <a16:creationId xmlns:a16="http://schemas.microsoft.com/office/drawing/2014/main" id="{260067EB-50C8-4A4B-9074-6EE9D3970236}"/>
            </a:ext>
          </a:extLst>
        </xdr:cNvPr>
        <xdr:cNvGrpSpPr/>
      </xdr:nvGrpSpPr>
      <xdr:grpSpPr>
        <a:xfrm>
          <a:off x="3460750" y="3344334"/>
          <a:ext cx="144552" cy="144599"/>
          <a:chOff x="9937028" y="802652"/>
          <a:chExt cx="83991" cy="77961"/>
        </a:xfrm>
      </xdr:grpSpPr>
      <xdr:sp macro="" textlink="">
        <xdr:nvSpPr>
          <xdr:cNvPr id="252" name="Oval 1">
            <a:extLst>
              <a:ext uri="{FF2B5EF4-FFF2-40B4-BE49-F238E27FC236}">
                <a16:creationId xmlns:a16="http://schemas.microsoft.com/office/drawing/2014/main" id="{ED03BB68-B847-0A5B-06D7-ABA1C3B8417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3" name="Straight Connector 3">
            <a:extLst>
              <a:ext uri="{FF2B5EF4-FFF2-40B4-BE49-F238E27FC236}">
                <a16:creationId xmlns:a16="http://schemas.microsoft.com/office/drawing/2014/main" id="{45262FA2-1EB3-4ABB-A6C9-D92A62CE8D9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7">
            <a:extLst>
              <a:ext uri="{FF2B5EF4-FFF2-40B4-BE49-F238E27FC236}">
                <a16:creationId xmlns:a16="http://schemas.microsoft.com/office/drawing/2014/main" id="{4475C2D9-BE0A-F09E-1B28-713FB47689B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374650</xdr:colOff>
      <xdr:row>22</xdr:row>
      <xdr:rowOff>57150</xdr:rowOff>
    </xdr:from>
    <xdr:to>
      <xdr:col>9</xdr:col>
      <xdr:colOff>138202</xdr:colOff>
      <xdr:row>23</xdr:row>
      <xdr:rowOff>53583</xdr:rowOff>
    </xdr:to>
    <xdr:grpSp>
      <xdr:nvGrpSpPr>
        <xdr:cNvPr id="255" name="Group 13">
          <a:extLst>
            <a:ext uri="{FF2B5EF4-FFF2-40B4-BE49-F238E27FC236}">
              <a16:creationId xmlns:a16="http://schemas.microsoft.com/office/drawing/2014/main" id="{CE58E9FA-B49D-4324-B281-2C6B687BEA00}"/>
            </a:ext>
          </a:extLst>
        </xdr:cNvPr>
        <xdr:cNvGrpSpPr/>
      </xdr:nvGrpSpPr>
      <xdr:grpSpPr>
        <a:xfrm>
          <a:off x="2967567" y="3348567"/>
          <a:ext cx="144552" cy="144599"/>
          <a:chOff x="9937028" y="802652"/>
          <a:chExt cx="83991" cy="77961"/>
        </a:xfrm>
      </xdr:grpSpPr>
      <xdr:sp macro="" textlink="">
        <xdr:nvSpPr>
          <xdr:cNvPr id="256" name="Oval 1">
            <a:extLst>
              <a:ext uri="{FF2B5EF4-FFF2-40B4-BE49-F238E27FC236}">
                <a16:creationId xmlns:a16="http://schemas.microsoft.com/office/drawing/2014/main" id="{EBC306CD-F33D-8CC1-C4CA-4A94B2D7ED4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7" name="Straight Connector 3">
            <a:extLst>
              <a:ext uri="{FF2B5EF4-FFF2-40B4-BE49-F238E27FC236}">
                <a16:creationId xmlns:a16="http://schemas.microsoft.com/office/drawing/2014/main" id="{72E349AA-4935-4A45-39E4-42E36C64FCD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7">
            <a:extLst>
              <a:ext uri="{FF2B5EF4-FFF2-40B4-BE49-F238E27FC236}">
                <a16:creationId xmlns:a16="http://schemas.microsoft.com/office/drawing/2014/main" id="{1509863E-635F-F9D3-88C4-20D82DDC69F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251883</xdr:colOff>
      <xdr:row>22</xdr:row>
      <xdr:rowOff>61383</xdr:rowOff>
    </xdr:from>
    <xdr:to>
      <xdr:col>8</xdr:col>
      <xdr:colOff>15435</xdr:colOff>
      <xdr:row>23</xdr:row>
      <xdr:rowOff>57816</xdr:rowOff>
    </xdr:to>
    <xdr:grpSp>
      <xdr:nvGrpSpPr>
        <xdr:cNvPr id="259" name="Group 13">
          <a:extLst>
            <a:ext uri="{FF2B5EF4-FFF2-40B4-BE49-F238E27FC236}">
              <a16:creationId xmlns:a16="http://schemas.microsoft.com/office/drawing/2014/main" id="{6F1F6272-6303-4DC4-91D8-E2A03AB88890}"/>
            </a:ext>
          </a:extLst>
        </xdr:cNvPr>
        <xdr:cNvGrpSpPr/>
      </xdr:nvGrpSpPr>
      <xdr:grpSpPr>
        <a:xfrm>
          <a:off x="2463800" y="3352800"/>
          <a:ext cx="144552" cy="144599"/>
          <a:chOff x="9937028" y="802652"/>
          <a:chExt cx="83991" cy="77961"/>
        </a:xfrm>
      </xdr:grpSpPr>
      <xdr:sp macro="" textlink="">
        <xdr:nvSpPr>
          <xdr:cNvPr id="260" name="Oval 1">
            <a:extLst>
              <a:ext uri="{FF2B5EF4-FFF2-40B4-BE49-F238E27FC236}">
                <a16:creationId xmlns:a16="http://schemas.microsoft.com/office/drawing/2014/main" id="{15C1AA5A-BF58-F150-7147-2534BC7513B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1" name="Straight Connector 3">
            <a:extLst>
              <a:ext uri="{FF2B5EF4-FFF2-40B4-BE49-F238E27FC236}">
                <a16:creationId xmlns:a16="http://schemas.microsoft.com/office/drawing/2014/main" id="{E3B1F117-2985-E9EE-693B-84564A61D2B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7">
            <a:extLst>
              <a:ext uri="{FF2B5EF4-FFF2-40B4-BE49-F238E27FC236}">
                <a16:creationId xmlns:a16="http://schemas.microsoft.com/office/drawing/2014/main" id="{801591DE-6992-B795-E891-6C3D2771AF0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171450</xdr:colOff>
      <xdr:row>22</xdr:row>
      <xdr:rowOff>55034</xdr:rowOff>
    </xdr:from>
    <xdr:to>
      <xdr:col>6</xdr:col>
      <xdr:colOff>316002</xdr:colOff>
      <xdr:row>23</xdr:row>
      <xdr:rowOff>51467</xdr:rowOff>
    </xdr:to>
    <xdr:grpSp>
      <xdr:nvGrpSpPr>
        <xdr:cNvPr id="263" name="Group 13">
          <a:extLst>
            <a:ext uri="{FF2B5EF4-FFF2-40B4-BE49-F238E27FC236}">
              <a16:creationId xmlns:a16="http://schemas.microsoft.com/office/drawing/2014/main" id="{3A15E66D-BC13-48D2-AAF8-24B4858EFFF0}"/>
            </a:ext>
          </a:extLst>
        </xdr:cNvPr>
        <xdr:cNvGrpSpPr/>
      </xdr:nvGrpSpPr>
      <xdr:grpSpPr>
        <a:xfrm>
          <a:off x="2002367" y="3346451"/>
          <a:ext cx="144552" cy="144599"/>
          <a:chOff x="9937028" y="802652"/>
          <a:chExt cx="83991" cy="77961"/>
        </a:xfrm>
      </xdr:grpSpPr>
      <xdr:sp macro="" textlink="">
        <xdr:nvSpPr>
          <xdr:cNvPr id="264" name="Oval 1">
            <a:extLst>
              <a:ext uri="{FF2B5EF4-FFF2-40B4-BE49-F238E27FC236}">
                <a16:creationId xmlns:a16="http://schemas.microsoft.com/office/drawing/2014/main" id="{CFC30670-4C0A-B128-53AA-C34F8BA3449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5" name="Straight Connector 3">
            <a:extLst>
              <a:ext uri="{FF2B5EF4-FFF2-40B4-BE49-F238E27FC236}">
                <a16:creationId xmlns:a16="http://schemas.microsoft.com/office/drawing/2014/main" id="{0950597C-D71C-DFE3-BC16-4027BBD0AE8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7">
            <a:extLst>
              <a:ext uri="{FF2B5EF4-FFF2-40B4-BE49-F238E27FC236}">
                <a16:creationId xmlns:a16="http://schemas.microsoft.com/office/drawing/2014/main" id="{1A1699DC-2F5F-6051-E9CD-3465203CE5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366183</xdr:colOff>
      <xdr:row>22</xdr:row>
      <xdr:rowOff>59266</xdr:rowOff>
    </xdr:from>
    <xdr:to>
      <xdr:col>5</xdr:col>
      <xdr:colOff>129735</xdr:colOff>
      <xdr:row>23</xdr:row>
      <xdr:rowOff>55699</xdr:rowOff>
    </xdr:to>
    <xdr:grpSp>
      <xdr:nvGrpSpPr>
        <xdr:cNvPr id="267" name="Group 13">
          <a:extLst>
            <a:ext uri="{FF2B5EF4-FFF2-40B4-BE49-F238E27FC236}">
              <a16:creationId xmlns:a16="http://schemas.microsoft.com/office/drawing/2014/main" id="{38B6525F-9E95-495F-85B2-195696590791}"/>
            </a:ext>
          </a:extLst>
        </xdr:cNvPr>
        <xdr:cNvGrpSpPr/>
      </xdr:nvGrpSpPr>
      <xdr:grpSpPr>
        <a:xfrm>
          <a:off x="1435100" y="3350683"/>
          <a:ext cx="144552" cy="144599"/>
          <a:chOff x="9937028" y="802652"/>
          <a:chExt cx="83991" cy="77961"/>
        </a:xfrm>
      </xdr:grpSpPr>
      <xdr:sp macro="" textlink="">
        <xdr:nvSpPr>
          <xdr:cNvPr id="268" name="Oval 1">
            <a:extLst>
              <a:ext uri="{FF2B5EF4-FFF2-40B4-BE49-F238E27FC236}">
                <a16:creationId xmlns:a16="http://schemas.microsoft.com/office/drawing/2014/main" id="{6CA9CB98-DA49-D6D9-CBE4-079A4064BE8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9" name="Straight Connector 3">
            <a:extLst>
              <a:ext uri="{FF2B5EF4-FFF2-40B4-BE49-F238E27FC236}">
                <a16:creationId xmlns:a16="http://schemas.microsoft.com/office/drawing/2014/main" id="{6D2962A0-3B69-9209-FA0C-CEC03DA3ABE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Connector 7">
            <a:extLst>
              <a:ext uri="{FF2B5EF4-FFF2-40B4-BE49-F238E27FC236}">
                <a16:creationId xmlns:a16="http://schemas.microsoft.com/office/drawing/2014/main" id="{89CE710F-49CD-5216-66E5-D5476729C0C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222250</xdr:colOff>
      <xdr:row>24</xdr:row>
      <xdr:rowOff>84666</xdr:rowOff>
    </xdr:from>
    <xdr:to>
      <xdr:col>3</xdr:col>
      <xdr:colOff>366802</xdr:colOff>
      <xdr:row>25</xdr:row>
      <xdr:rowOff>81098</xdr:rowOff>
    </xdr:to>
    <xdr:grpSp>
      <xdr:nvGrpSpPr>
        <xdr:cNvPr id="271" name="Group 13">
          <a:extLst>
            <a:ext uri="{FF2B5EF4-FFF2-40B4-BE49-F238E27FC236}">
              <a16:creationId xmlns:a16="http://schemas.microsoft.com/office/drawing/2014/main" id="{924B61F0-F449-4124-9205-64B88917D307}"/>
            </a:ext>
          </a:extLst>
        </xdr:cNvPr>
        <xdr:cNvGrpSpPr/>
      </xdr:nvGrpSpPr>
      <xdr:grpSpPr>
        <a:xfrm>
          <a:off x="910167" y="3672416"/>
          <a:ext cx="144552" cy="144599"/>
          <a:chOff x="9937028" y="802652"/>
          <a:chExt cx="83991" cy="77961"/>
        </a:xfrm>
      </xdr:grpSpPr>
      <xdr:sp macro="" textlink="">
        <xdr:nvSpPr>
          <xdr:cNvPr id="272" name="Oval 1">
            <a:extLst>
              <a:ext uri="{FF2B5EF4-FFF2-40B4-BE49-F238E27FC236}">
                <a16:creationId xmlns:a16="http://schemas.microsoft.com/office/drawing/2014/main" id="{29E98177-45D9-AB26-70BA-A658F72553A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3" name="Straight Connector 3">
            <a:extLst>
              <a:ext uri="{FF2B5EF4-FFF2-40B4-BE49-F238E27FC236}">
                <a16:creationId xmlns:a16="http://schemas.microsoft.com/office/drawing/2014/main" id="{F8A6225E-91A8-A522-9AA3-4A13D5AA08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7">
            <a:extLst>
              <a:ext uri="{FF2B5EF4-FFF2-40B4-BE49-F238E27FC236}">
                <a16:creationId xmlns:a16="http://schemas.microsoft.com/office/drawing/2014/main" id="{B8FF1C08-5071-415D-5482-2649A31677F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57150</xdr:colOff>
      <xdr:row>22</xdr:row>
      <xdr:rowOff>57150</xdr:rowOff>
    </xdr:from>
    <xdr:to>
      <xdr:col>17</xdr:col>
      <xdr:colOff>201702</xdr:colOff>
      <xdr:row>23</xdr:row>
      <xdr:rowOff>53583</xdr:rowOff>
    </xdr:to>
    <xdr:grpSp>
      <xdr:nvGrpSpPr>
        <xdr:cNvPr id="275" name="Group 13">
          <a:extLst>
            <a:ext uri="{FF2B5EF4-FFF2-40B4-BE49-F238E27FC236}">
              <a16:creationId xmlns:a16="http://schemas.microsoft.com/office/drawing/2014/main" id="{94F5F548-A7BB-4D70-898E-8BED63BD448D}"/>
            </a:ext>
          </a:extLst>
        </xdr:cNvPr>
        <xdr:cNvGrpSpPr/>
      </xdr:nvGrpSpPr>
      <xdr:grpSpPr>
        <a:xfrm>
          <a:off x="6079067" y="3348567"/>
          <a:ext cx="144552" cy="144599"/>
          <a:chOff x="9937028" y="802652"/>
          <a:chExt cx="83991" cy="77961"/>
        </a:xfrm>
      </xdr:grpSpPr>
      <xdr:sp macro="" textlink="">
        <xdr:nvSpPr>
          <xdr:cNvPr id="276" name="Oval 1">
            <a:extLst>
              <a:ext uri="{FF2B5EF4-FFF2-40B4-BE49-F238E27FC236}">
                <a16:creationId xmlns:a16="http://schemas.microsoft.com/office/drawing/2014/main" id="{34B8C506-8E5C-24D4-B5B1-DEDCA7BB711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7" name="Straight Connector 3">
            <a:extLst>
              <a:ext uri="{FF2B5EF4-FFF2-40B4-BE49-F238E27FC236}">
                <a16:creationId xmlns:a16="http://schemas.microsoft.com/office/drawing/2014/main" id="{9326C6F9-3611-6800-A14A-4F1DDAD89CC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8" name="Straight Connector 7">
            <a:extLst>
              <a:ext uri="{FF2B5EF4-FFF2-40B4-BE49-F238E27FC236}">
                <a16:creationId xmlns:a16="http://schemas.microsoft.com/office/drawing/2014/main" id="{4BB1127C-5AA4-AC16-1A5B-CD7FA75EAB3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57459</xdr:colOff>
      <xdr:row>22</xdr:row>
      <xdr:rowOff>52916</xdr:rowOff>
    </xdr:from>
    <xdr:to>
      <xdr:col>21</xdr:col>
      <xdr:colOff>63499</xdr:colOff>
      <xdr:row>22</xdr:row>
      <xdr:rowOff>59266</xdr:rowOff>
    </xdr:to>
    <xdr:cxnSp macro="">
      <xdr:nvCxnSpPr>
        <xdr:cNvPr id="283" name="Straight Connector 139">
          <a:extLst>
            <a:ext uri="{FF2B5EF4-FFF2-40B4-BE49-F238E27FC236}">
              <a16:creationId xmlns:a16="http://schemas.microsoft.com/office/drawing/2014/main" id="{3FDFB191-5062-4215-B5CD-46EB7FF3CE73}"/>
            </a:ext>
          </a:extLst>
        </xdr:cNvPr>
        <xdr:cNvCxnSpPr>
          <a:cxnSpLocks/>
          <a:endCxn id="268" idx="0"/>
        </xdr:cNvCxnSpPr>
      </xdr:nvCxnSpPr>
      <xdr:spPr bwMode="auto">
        <a:xfrm flipH="1">
          <a:off x="1507376" y="3344333"/>
          <a:ext cx="6102040" cy="63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84667</xdr:colOff>
      <xdr:row>22</xdr:row>
      <xdr:rowOff>31749</xdr:rowOff>
    </xdr:from>
    <xdr:to>
      <xdr:col>19</xdr:col>
      <xdr:colOff>168489</xdr:colOff>
      <xdr:row>22</xdr:row>
      <xdr:rowOff>110387</xdr:rowOff>
    </xdr:to>
    <xdr:grpSp>
      <xdr:nvGrpSpPr>
        <xdr:cNvPr id="288" name="Group 73">
          <a:extLst>
            <a:ext uri="{FF2B5EF4-FFF2-40B4-BE49-F238E27FC236}">
              <a16:creationId xmlns:a16="http://schemas.microsoft.com/office/drawing/2014/main" id="{B6C1D8DD-1A83-436E-B455-B9DEC63F85A7}"/>
            </a:ext>
          </a:extLst>
        </xdr:cNvPr>
        <xdr:cNvGrpSpPr/>
      </xdr:nvGrpSpPr>
      <xdr:grpSpPr>
        <a:xfrm rot="21429191">
          <a:off x="6868584" y="3323166"/>
          <a:ext cx="83822" cy="78638"/>
          <a:chOff x="12175074" y="2285812"/>
          <a:chExt cx="107252" cy="65186"/>
        </a:xfrm>
      </xdr:grpSpPr>
      <xdr:cxnSp macro="">
        <xdr:nvCxnSpPr>
          <xdr:cNvPr id="289" name="Straight Connector 74">
            <a:extLst>
              <a:ext uri="{FF2B5EF4-FFF2-40B4-BE49-F238E27FC236}">
                <a16:creationId xmlns:a16="http://schemas.microsoft.com/office/drawing/2014/main" id="{331BD005-63B4-8E64-6B67-D44895A7C7F9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75">
            <a:extLst>
              <a:ext uri="{FF2B5EF4-FFF2-40B4-BE49-F238E27FC236}">
                <a16:creationId xmlns:a16="http://schemas.microsoft.com/office/drawing/2014/main" id="{C40950E8-7712-7131-A8DC-FBE490E49060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Straight Connector 76">
            <a:extLst>
              <a:ext uri="{FF2B5EF4-FFF2-40B4-BE49-F238E27FC236}">
                <a16:creationId xmlns:a16="http://schemas.microsoft.com/office/drawing/2014/main" id="{6C810866-0551-DA59-7593-157F17F7C8A6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289983</xdr:colOff>
      <xdr:row>22</xdr:row>
      <xdr:rowOff>14816</xdr:rowOff>
    </xdr:from>
    <xdr:to>
      <xdr:col>17</xdr:col>
      <xdr:colOff>373805</xdr:colOff>
      <xdr:row>22</xdr:row>
      <xdr:rowOff>93454</xdr:rowOff>
    </xdr:to>
    <xdr:grpSp>
      <xdr:nvGrpSpPr>
        <xdr:cNvPr id="292" name="Group 73">
          <a:extLst>
            <a:ext uri="{FF2B5EF4-FFF2-40B4-BE49-F238E27FC236}">
              <a16:creationId xmlns:a16="http://schemas.microsoft.com/office/drawing/2014/main" id="{D1251D02-B647-4410-9C01-AE47DAFA2709}"/>
            </a:ext>
          </a:extLst>
        </xdr:cNvPr>
        <xdr:cNvGrpSpPr/>
      </xdr:nvGrpSpPr>
      <xdr:grpSpPr>
        <a:xfrm rot="21429191">
          <a:off x="6311900" y="3306233"/>
          <a:ext cx="83822" cy="78638"/>
          <a:chOff x="12175074" y="2285812"/>
          <a:chExt cx="107252" cy="65186"/>
        </a:xfrm>
      </xdr:grpSpPr>
      <xdr:cxnSp macro="">
        <xdr:nvCxnSpPr>
          <xdr:cNvPr id="293" name="Straight Connector 74">
            <a:extLst>
              <a:ext uri="{FF2B5EF4-FFF2-40B4-BE49-F238E27FC236}">
                <a16:creationId xmlns:a16="http://schemas.microsoft.com/office/drawing/2014/main" id="{CB64D664-A981-C9B4-3D26-550266FC6AF1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Straight Connector 75">
            <a:extLst>
              <a:ext uri="{FF2B5EF4-FFF2-40B4-BE49-F238E27FC236}">
                <a16:creationId xmlns:a16="http://schemas.microsoft.com/office/drawing/2014/main" id="{23D2FE59-8106-37D6-77EC-E1F16D3C116E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5" name="Straight Connector 76">
            <a:extLst>
              <a:ext uri="{FF2B5EF4-FFF2-40B4-BE49-F238E27FC236}">
                <a16:creationId xmlns:a16="http://schemas.microsoft.com/office/drawing/2014/main" id="{24E344F3-79D1-EF9A-8909-A9EF36E92DBB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167217</xdr:colOff>
      <xdr:row>22</xdr:row>
      <xdr:rowOff>29633</xdr:rowOff>
    </xdr:from>
    <xdr:to>
      <xdr:col>16</xdr:col>
      <xdr:colOff>251039</xdr:colOff>
      <xdr:row>22</xdr:row>
      <xdr:rowOff>108271</xdr:rowOff>
    </xdr:to>
    <xdr:grpSp>
      <xdr:nvGrpSpPr>
        <xdr:cNvPr id="296" name="Group 73">
          <a:extLst>
            <a:ext uri="{FF2B5EF4-FFF2-40B4-BE49-F238E27FC236}">
              <a16:creationId xmlns:a16="http://schemas.microsoft.com/office/drawing/2014/main" id="{CC748DF6-0E16-4526-95D5-F027F5E744F5}"/>
            </a:ext>
          </a:extLst>
        </xdr:cNvPr>
        <xdr:cNvGrpSpPr/>
      </xdr:nvGrpSpPr>
      <xdr:grpSpPr>
        <a:xfrm rot="21429191">
          <a:off x="5808134" y="3321050"/>
          <a:ext cx="83822" cy="78638"/>
          <a:chOff x="12175074" y="2285812"/>
          <a:chExt cx="107252" cy="65186"/>
        </a:xfrm>
      </xdr:grpSpPr>
      <xdr:cxnSp macro="">
        <xdr:nvCxnSpPr>
          <xdr:cNvPr id="297" name="Straight Connector 74">
            <a:extLst>
              <a:ext uri="{FF2B5EF4-FFF2-40B4-BE49-F238E27FC236}">
                <a16:creationId xmlns:a16="http://schemas.microsoft.com/office/drawing/2014/main" id="{0C47A82B-DFD1-A939-B3B5-97D7EFA6C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Connector 75">
            <a:extLst>
              <a:ext uri="{FF2B5EF4-FFF2-40B4-BE49-F238E27FC236}">
                <a16:creationId xmlns:a16="http://schemas.microsoft.com/office/drawing/2014/main" id="{DBDC7BC2-C4A3-D141-FE45-5F5819326FA9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76">
            <a:extLst>
              <a:ext uri="{FF2B5EF4-FFF2-40B4-BE49-F238E27FC236}">
                <a16:creationId xmlns:a16="http://schemas.microsoft.com/office/drawing/2014/main" id="{706F1FFD-491F-BBEB-D539-D6D9D3585A7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55034</xdr:colOff>
      <xdr:row>22</xdr:row>
      <xdr:rowOff>23283</xdr:rowOff>
    </xdr:from>
    <xdr:to>
      <xdr:col>15</xdr:col>
      <xdr:colOff>138856</xdr:colOff>
      <xdr:row>22</xdr:row>
      <xdr:rowOff>101921</xdr:rowOff>
    </xdr:to>
    <xdr:grpSp>
      <xdr:nvGrpSpPr>
        <xdr:cNvPr id="300" name="Group 73">
          <a:extLst>
            <a:ext uri="{FF2B5EF4-FFF2-40B4-BE49-F238E27FC236}">
              <a16:creationId xmlns:a16="http://schemas.microsoft.com/office/drawing/2014/main" id="{9FAAAB98-E96B-42D9-BB39-9464D925B0C9}"/>
            </a:ext>
          </a:extLst>
        </xdr:cNvPr>
        <xdr:cNvGrpSpPr/>
      </xdr:nvGrpSpPr>
      <xdr:grpSpPr>
        <a:xfrm rot="21429191">
          <a:off x="5314951" y="3314700"/>
          <a:ext cx="83822" cy="78638"/>
          <a:chOff x="12175074" y="2285812"/>
          <a:chExt cx="107252" cy="65186"/>
        </a:xfrm>
      </xdr:grpSpPr>
      <xdr:cxnSp macro="">
        <xdr:nvCxnSpPr>
          <xdr:cNvPr id="301" name="Straight Connector 74">
            <a:extLst>
              <a:ext uri="{FF2B5EF4-FFF2-40B4-BE49-F238E27FC236}">
                <a16:creationId xmlns:a16="http://schemas.microsoft.com/office/drawing/2014/main" id="{5F7070F6-061B-DB04-0DD4-37661D534466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Straight Connector 75">
            <a:extLst>
              <a:ext uri="{FF2B5EF4-FFF2-40B4-BE49-F238E27FC236}">
                <a16:creationId xmlns:a16="http://schemas.microsoft.com/office/drawing/2014/main" id="{890264D0-EA7B-DF6E-34A8-4BD4F806F80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Straight Connector 76">
            <a:extLst>
              <a:ext uri="{FF2B5EF4-FFF2-40B4-BE49-F238E27FC236}">
                <a16:creationId xmlns:a16="http://schemas.microsoft.com/office/drawing/2014/main" id="{79FD26E9-B8A5-57FD-A9C4-FF4EDA28D82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323850</xdr:colOff>
      <xdr:row>22</xdr:row>
      <xdr:rowOff>27516</xdr:rowOff>
    </xdr:from>
    <xdr:to>
      <xdr:col>14</xdr:col>
      <xdr:colOff>26672</xdr:colOff>
      <xdr:row>22</xdr:row>
      <xdr:rowOff>106154</xdr:rowOff>
    </xdr:to>
    <xdr:grpSp>
      <xdr:nvGrpSpPr>
        <xdr:cNvPr id="304" name="Group 73">
          <a:extLst>
            <a:ext uri="{FF2B5EF4-FFF2-40B4-BE49-F238E27FC236}">
              <a16:creationId xmlns:a16="http://schemas.microsoft.com/office/drawing/2014/main" id="{50BE1654-105B-4FEF-8BF1-428008E857A8}"/>
            </a:ext>
          </a:extLst>
        </xdr:cNvPr>
        <xdr:cNvGrpSpPr/>
      </xdr:nvGrpSpPr>
      <xdr:grpSpPr>
        <a:xfrm rot="21429191">
          <a:off x="4821767" y="3318933"/>
          <a:ext cx="83822" cy="78638"/>
          <a:chOff x="12175074" y="2285812"/>
          <a:chExt cx="107252" cy="65186"/>
        </a:xfrm>
      </xdr:grpSpPr>
      <xdr:cxnSp macro="">
        <xdr:nvCxnSpPr>
          <xdr:cNvPr id="305" name="Straight Connector 74">
            <a:extLst>
              <a:ext uri="{FF2B5EF4-FFF2-40B4-BE49-F238E27FC236}">
                <a16:creationId xmlns:a16="http://schemas.microsoft.com/office/drawing/2014/main" id="{44B56ED7-E220-AF5B-30F9-1C8DC0FA075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Straight Connector 75">
            <a:extLst>
              <a:ext uri="{FF2B5EF4-FFF2-40B4-BE49-F238E27FC236}">
                <a16:creationId xmlns:a16="http://schemas.microsoft.com/office/drawing/2014/main" id="{FC65AE9E-A48A-2EDB-08C9-5906656F29AE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" name="Straight Connector 76">
            <a:extLst>
              <a:ext uri="{FF2B5EF4-FFF2-40B4-BE49-F238E27FC236}">
                <a16:creationId xmlns:a16="http://schemas.microsoft.com/office/drawing/2014/main" id="{F55B719C-8C3F-63BC-2654-EDE227DCDD63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201083</xdr:colOff>
      <xdr:row>22</xdr:row>
      <xdr:rowOff>10583</xdr:rowOff>
    </xdr:from>
    <xdr:to>
      <xdr:col>12</xdr:col>
      <xdr:colOff>284905</xdr:colOff>
      <xdr:row>22</xdr:row>
      <xdr:rowOff>89221</xdr:rowOff>
    </xdr:to>
    <xdr:grpSp>
      <xdr:nvGrpSpPr>
        <xdr:cNvPr id="308" name="Group 73">
          <a:extLst>
            <a:ext uri="{FF2B5EF4-FFF2-40B4-BE49-F238E27FC236}">
              <a16:creationId xmlns:a16="http://schemas.microsoft.com/office/drawing/2014/main" id="{E86FAFE5-B983-4662-85D9-4DA88E385C3C}"/>
            </a:ext>
          </a:extLst>
        </xdr:cNvPr>
        <xdr:cNvGrpSpPr/>
      </xdr:nvGrpSpPr>
      <xdr:grpSpPr>
        <a:xfrm rot="21429191">
          <a:off x="4318000" y="3302000"/>
          <a:ext cx="83822" cy="78638"/>
          <a:chOff x="12175074" y="2285812"/>
          <a:chExt cx="107252" cy="65186"/>
        </a:xfrm>
      </xdr:grpSpPr>
      <xdr:cxnSp macro="">
        <xdr:nvCxnSpPr>
          <xdr:cNvPr id="309" name="Straight Connector 74">
            <a:extLst>
              <a:ext uri="{FF2B5EF4-FFF2-40B4-BE49-F238E27FC236}">
                <a16:creationId xmlns:a16="http://schemas.microsoft.com/office/drawing/2014/main" id="{8FD8470A-77EF-8997-340C-5A25D689F80E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Connector 75">
            <a:extLst>
              <a:ext uri="{FF2B5EF4-FFF2-40B4-BE49-F238E27FC236}">
                <a16:creationId xmlns:a16="http://schemas.microsoft.com/office/drawing/2014/main" id="{A08AAED8-C563-A476-4141-5A546BFBE45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" name="Straight Connector 76">
            <a:extLst>
              <a:ext uri="{FF2B5EF4-FFF2-40B4-BE49-F238E27FC236}">
                <a16:creationId xmlns:a16="http://schemas.microsoft.com/office/drawing/2014/main" id="{67409723-87A4-8922-1E60-5430972E5084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52916</xdr:colOff>
      <xdr:row>22</xdr:row>
      <xdr:rowOff>21166</xdr:rowOff>
    </xdr:from>
    <xdr:to>
      <xdr:col>11</xdr:col>
      <xdr:colOff>136738</xdr:colOff>
      <xdr:row>22</xdr:row>
      <xdr:rowOff>99804</xdr:rowOff>
    </xdr:to>
    <xdr:grpSp>
      <xdr:nvGrpSpPr>
        <xdr:cNvPr id="312" name="Group 73">
          <a:extLst>
            <a:ext uri="{FF2B5EF4-FFF2-40B4-BE49-F238E27FC236}">
              <a16:creationId xmlns:a16="http://schemas.microsoft.com/office/drawing/2014/main" id="{F8628757-BD28-4759-A987-80CDBD9AF259}"/>
            </a:ext>
          </a:extLst>
        </xdr:cNvPr>
        <xdr:cNvGrpSpPr/>
      </xdr:nvGrpSpPr>
      <xdr:grpSpPr>
        <a:xfrm rot="21429191">
          <a:off x="3788833" y="3312583"/>
          <a:ext cx="83822" cy="78638"/>
          <a:chOff x="12175074" y="2285812"/>
          <a:chExt cx="107252" cy="65186"/>
        </a:xfrm>
      </xdr:grpSpPr>
      <xdr:cxnSp macro="">
        <xdr:nvCxnSpPr>
          <xdr:cNvPr id="313" name="Straight Connector 74">
            <a:extLst>
              <a:ext uri="{FF2B5EF4-FFF2-40B4-BE49-F238E27FC236}">
                <a16:creationId xmlns:a16="http://schemas.microsoft.com/office/drawing/2014/main" id="{1EEBE407-BD8B-6BF2-3612-861BE2ACBFA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Straight Connector 75">
            <a:extLst>
              <a:ext uri="{FF2B5EF4-FFF2-40B4-BE49-F238E27FC236}">
                <a16:creationId xmlns:a16="http://schemas.microsoft.com/office/drawing/2014/main" id="{A385216E-9067-C654-33AE-D1DB3F985F6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" name="Straight Connector 76">
            <a:extLst>
              <a:ext uri="{FF2B5EF4-FFF2-40B4-BE49-F238E27FC236}">
                <a16:creationId xmlns:a16="http://schemas.microsoft.com/office/drawing/2014/main" id="{B3679E93-8D69-B2ED-F0A0-EC5B2DC1C794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279400</xdr:colOff>
      <xdr:row>22</xdr:row>
      <xdr:rowOff>14816</xdr:rowOff>
    </xdr:from>
    <xdr:to>
      <xdr:col>9</xdr:col>
      <xdr:colOff>363222</xdr:colOff>
      <xdr:row>22</xdr:row>
      <xdr:rowOff>93454</xdr:rowOff>
    </xdr:to>
    <xdr:grpSp>
      <xdr:nvGrpSpPr>
        <xdr:cNvPr id="316" name="Group 73">
          <a:extLst>
            <a:ext uri="{FF2B5EF4-FFF2-40B4-BE49-F238E27FC236}">
              <a16:creationId xmlns:a16="http://schemas.microsoft.com/office/drawing/2014/main" id="{B793280E-6A65-4D21-860E-8DAB44EC2750}"/>
            </a:ext>
          </a:extLst>
        </xdr:cNvPr>
        <xdr:cNvGrpSpPr/>
      </xdr:nvGrpSpPr>
      <xdr:grpSpPr>
        <a:xfrm rot="21429191">
          <a:off x="3253317" y="3306233"/>
          <a:ext cx="83822" cy="78638"/>
          <a:chOff x="12175074" y="2285812"/>
          <a:chExt cx="107252" cy="65186"/>
        </a:xfrm>
      </xdr:grpSpPr>
      <xdr:cxnSp macro="">
        <xdr:nvCxnSpPr>
          <xdr:cNvPr id="317" name="Straight Connector 74">
            <a:extLst>
              <a:ext uri="{FF2B5EF4-FFF2-40B4-BE49-F238E27FC236}">
                <a16:creationId xmlns:a16="http://schemas.microsoft.com/office/drawing/2014/main" id="{721B2E35-583A-D601-0F1A-D79025BFA695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Straight Connector 75">
            <a:extLst>
              <a:ext uri="{FF2B5EF4-FFF2-40B4-BE49-F238E27FC236}">
                <a16:creationId xmlns:a16="http://schemas.microsoft.com/office/drawing/2014/main" id="{A7DA0C22-055C-670C-3BC8-018D9249767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Straight Connector 76">
            <a:extLst>
              <a:ext uri="{FF2B5EF4-FFF2-40B4-BE49-F238E27FC236}">
                <a16:creationId xmlns:a16="http://schemas.microsoft.com/office/drawing/2014/main" id="{AC3635B8-5B2A-6A3D-02EB-7B9CFFCBFD8F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156634</xdr:colOff>
      <xdr:row>22</xdr:row>
      <xdr:rowOff>29633</xdr:rowOff>
    </xdr:from>
    <xdr:to>
      <xdr:col>8</xdr:col>
      <xdr:colOff>240456</xdr:colOff>
      <xdr:row>22</xdr:row>
      <xdr:rowOff>108271</xdr:rowOff>
    </xdr:to>
    <xdr:grpSp>
      <xdr:nvGrpSpPr>
        <xdr:cNvPr id="320" name="Group 73">
          <a:extLst>
            <a:ext uri="{FF2B5EF4-FFF2-40B4-BE49-F238E27FC236}">
              <a16:creationId xmlns:a16="http://schemas.microsoft.com/office/drawing/2014/main" id="{3E8C6F27-D169-49A1-BBCD-697358A0E01C}"/>
            </a:ext>
          </a:extLst>
        </xdr:cNvPr>
        <xdr:cNvGrpSpPr/>
      </xdr:nvGrpSpPr>
      <xdr:grpSpPr>
        <a:xfrm rot="21429191">
          <a:off x="2749551" y="3321050"/>
          <a:ext cx="83822" cy="78638"/>
          <a:chOff x="12175074" y="2285812"/>
          <a:chExt cx="107252" cy="65186"/>
        </a:xfrm>
      </xdr:grpSpPr>
      <xdr:cxnSp macro="">
        <xdr:nvCxnSpPr>
          <xdr:cNvPr id="321" name="Straight Connector 74">
            <a:extLst>
              <a:ext uri="{FF2B5EF4-FFF2-40B4-BE49-F238E27FC236}">
                <a16:creationId xmlns:a16="http://schemas.microsoft.com/office/drawing/2014/main" id="{582F0CFF-F70B-43DA-A8F8-F72548713CE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Straight Connector 75">
            <a:extLst>
              <a:ext uri="{FF2B5EF4-FFF2-40B4-BE49-F238E27FC236}">
                <a16:creationId xmlns:a16="http://schemas.microsoft.com/office/drawing/2014/main" id="{B93001E5-F283-5B03-A5B2-475C1C1019C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Straight Connector 76">
            <a:extLst>
              <a:ext uri="{FF2B5EF4-FFF2-40B4-BE49-F238E27FC236}">
                <a16:creationId xmlns:a16="http://schemas.microsoft.com/office/drawing/2014/main" id="{F93C5DA9-1FD7-BEE3-075D-58CDE15E750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107950</xdr:colOff>
      <xdr:row>22</xdr:row>
      <xdr:rowOff>23282</xdr:rowOff>
    </xdr:from>
    <xdr:to>
      <xdr:col>7</xdr:col>
      <xdr:colOff>191772</xdr:colOff>
      <xdr:row>22</xdr:row>
      <xdr:rowOff>101920</xdr:rowOff>
    </xdr:to>
    <xdr:grpSp>
      <xdr:nvGrpSpPr>
        <xdr:cNvPr id="324" name="Group 73">
          <a:extLst>
            <a:ext uri="{FF2B5EF4-FFF2-40B4-BE49-F238E27FC236}">
              <a16:creationId xmlns:a16="http://schemas.microsoft.com/office/drawing/2014/main" id="{9673AC80-1E2F-4932-827A-D0FFF6566524}"/>
            </a:ext>
          </a:extLst>
        </xdr:cNvPr>
        <xdr:cNvGrpSpPr/>
      </xdr:nvGrpSpPr>
      <xdr:grpSpPr>
        <a:xfrm rot="21429191">
          <a:off x="2319867" y="3314699"/>
          <a:ext cx="83822" cy="78638"/>
          <a:chOff x="12175074" y="2285812"/>
          <a:chExt cx="107252" cy="65186"/>
        </a:xfrm>
      </xdr:grpSpPr>
      <xdr:cxnSp macro="">
        <xdr:nvCxnSpPr>
          <xdr:cNvPr id="325" name="Straight Connector 74">
            <a:extLst>
              <a:ext uri="{FF2B5EF4-FFF2-40B4-BE49-F238E27FC236}">
                <a16:creationId xmlns:a16="http://schemas.microsoft.com/office/drawing/2014/main" id="{9E652CA0-1D43-7D56-4E41-3EB418A4D4E1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6" name="Straight Connector 75">
            <a:extLst>
              <a:ext uri="{FF2B5EF4-FFF2-40B4-BE49-F238E27FC236}">
                <a16:creationId xmlns:a16="http://schemas.microsoft.com/office/drawing/2014/main" id="{E012E8D9-4D43-178D-698A-96EC2BB63DC0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Straight Connector 76">
            <a:extLst>
              <a:ext uri="{FF2B5EF4-FFF2-40B4-BE49-F238E27FC236}">
                <a16:creationId xmlns:a16="http://schemas.microsoft.com/office/drawing/2014/main" id="{DBCA1C97-A400-9778-F653-3199911B352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345018</xdr:colOff>
      <xdr:row>22</xdr:row>
      <xdr:rowOff>16932</xdr:rowOff>
    </xdr:from>
    <xdr:to>
      <xdr:col>6</xdr:col>
      <xdr:colOff>47840</xdr:colOff>
      <xdr:row>22</xdr:row>
      <xdr:rowOff>95570</xdr:rowOff>
    </xdr:to>
    <xdr:grpSp>
      <xdr:nvGrpSpPr>
        <xdr:cNvPr id="328" name="Group 73">
          <a:extLst>
            <a:ext uri="{FF2B5EF4-FFF2-40B4-BE49-F238E27FC236}">
              <a16:creationId xmlns:a16="http://schemas.microsoft.com/office/drawing/2014/main" id="{F5831EA8-C2DF-4BC5-A802-0482B725E7C8}"/>
            </a:ext>
          </a:extLst>
        </xdr:cNvPr>
        <xdr:cNvGrpSpPr/>
      </xdr:nvGrpSpPr>
      <xdr:grpSpPr>
        <a:xfrm rot="21429191">
          <a:off x="1794935" y="3308349"/>
          <a:ext cx="83822" cy="78638"/>
          <a:chOff x="12175074" y="2285812"/>
          <a:chExt cx="107252" cy="65186"/>
        </a:xfrm>
      </xdr:grpSpPr>
      <xdr:cxnSp macro="">
        <xdr:nvCxnSpPr>
          <xdr:cNvPr id="329" name="Straight Connector 74">
            <a:extLst>
              <a:ext uri="{FF2B5EF4-FFF2-40B4-BE49-F238E27FC236}">
                <a16:creationId xmlns:a16="http://schemas.microsoft.com/office/drawing/2014/main" id="{1C93ACBF-77B3-67A1-4325-D5423FA1DE7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0" name="Straight Connector 75">
            <a:extLst>
              <a:ext uri="{FF2B5EF4-FFF2-40B4-BE49-F238E27FC236}">
                <a16:creationId xmlns:a16="http://schemas.microsoft.com/office/drawing/2014/main" id="{CA5268F3-D928-BE78-14D5-C31B3DB9EA8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1" name="Straight Connector 76">
            <a:extLst>
              <a:ext uri="{FF2B5EF4-FFF2-40B4-BE49-F238E27FC236}">
                <a16:creationId xmlns:a16="http://schemas.microsoft.com/office/drawing/2014/main" id="{33C02DE4-A5D2-98DB-B635-6C9DA7BC0CD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87259</xdr:colOff>
      <xdr:row>23</xdr:row>
      <xdr:rowOff>71490</xdr:rowOff>
    </xdr:from>
    <xdr:to>
      <xdr:col>4</xdr:col>
      <xdr:colOff>165897</xdr:colOff>
      <xdr:row>24</xdr:row>
      <xdr:rowOff>7145</xdr:rowOff>
    </xdr:to>
    <xdr:grpSp>
      <xdr:nvGrpSpPr>
        <xdr:cNvPr id="332" name="Group 73">
          <a:extLst>
            <a:ext uri="{FF2B5EF4-FFF2-40B4-BE49-F238E27FC236}">
              <a16:creationId xmlns:a16="http://schemas.microsoft.com/office/drawing/2014/main" id="{62DF778D-53A7-4E54-933A-909AD1E14E22}"/>
            </a:ext>
          </a:extLst>
        </xdr:cNvPr>
        <xdr:cNvGrpSpPr/>
      </xdr:nvGrpSpPr>
      <xdr:grpSpPr>
        <a:xfrm rot="18527080">
          <a:off x="1153584" y="3513665"/>
          <a:ext cx="83822" cy="78638"/>
          <a:chOff x="12175074" y="2285812"/>
          <a:chExt cx="107252" cy="65186"/>
        </a:xfrm>
      </xdr:grpSpPr>
      <xdr:cxnSp macro="">
        <xdr:nvCxnSpPr>
          <xdr:cNvPr id="333" name="Straight Connector 74">
            <a:extLst>
              <a:ext uri="{FF2B5EF4-FFF2-40B4-BE49-F238E27FC236}">
                <a16:creationId xmlns:a16="http://schemas.microsoft.com/office/drawing/2014/main" id="{77FF3EFA-9D9D-D1DD-98CC-03D83DDA2EFF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4" name="Straight Connector 75">
            <a:extLst>
              <a:ext uri="{FF2B5EF4-FFF2-40B4-BE49-F238E27FC236}">
                <a16:creationId xmlns:a16="http://schemas.microsoft.com/office/drawing/2014/main" id="{97EBD0BD-9AAC-6544-9E32-E00F3CE50E48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5" name="Straight Connector 76">
            <a:extLst>
              <a:ext uri="{FF2B5EF4-FFF2-40B4-BE49-F238E27FC236}">
                <a16:creationId xmlns:a16="http://schemas.microsoft.com/office/drawing/2014/main" id="{8698ACE4-97F2-FC3D-88E8-092BE8040650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169332</xdr:colOff>
      <xdr:row>23</xdr:row>
      <xdr:rowOff>95250</xdr:rowOff>
    </xdr:from>
    <xdr:to>
      <xdr:col>18</xdr:col>
      <xdr:colOff>324804</xdr:colOff>
      <xdr:row>24</xdr:row>
      <xdr:rowOff>63500</xdr:rowOff>
    </xdr:to>
    <xdr:sp macro="" textlink="">
      <xdr:nvSpPr>
        <xdr:cNvPr id="336" name="Isosceles Triangle 335">
          <a:extLst>
            <a:ext uri="{FF2B5EF4-FFF2-40B4-BE49-F238E27FC236}">
              <a16:creationId xmlns:a16="http://schemas.microsoft.com/office/drawing/2014/main" id="{085E228A-9923-4D6E-B2B8-DCFC20C92ADD}"/>
            </a:ext>
          </a:extLst>
        </xdr:cNvPr>
        <xdr:cNvSpPr/>
      </xdr:nvSpPr>
      <xdr:spPr>
        <a:xfrm>
          <a:off x="6572249" y="3534833"/>
          <a:ext cx="155472" cy="116417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264582</xdr:colOff>
      <xdr:row>23</xdr:row>
      <xdr:rowOff>0</xdr:rowOff>
    </xdr:from>
    <xdr:to>
      <xdr:col>4</xdr:col>
      <xdr:colOff>39054</xdr:colOff>
      <xdr:row>23</xdr:row>
      <xdr:rowOff>116417</xdr:rowOff>
    </xdr:to>
    <xdr:sp macro="" textlink="">
      <xdr:nvSpPr>
        <xdr:cNvPr id="337" name="Isosceles Triangle 336">
          <a:extLst>
            <a:ext uri="{FF2B5EF4-FFF2-40B4-BE49-F238E27FC236}">
              <a16:creationId xmlns:a16="http://schemas.microsoft.com/office/drawing/2014/main" id="{AA0E5BED-B076-4E18-805D-D2917CF6EB67}"/>
            </a:ext>
          </a:extLst>
        </xdr:cNvPr>
        <xdr:cNvSpPr/>
      </xdr:nvSpPr>
      <xdr:spPr>
        <a:xfrm>
          <a:off x="952499" y="3439583"/>
          <a:ext cx="155472" cy="116417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359834</xdr:colOff>
      <xdr:row>23</xdr:row>
      <xdr:rowOff>116417</xdr:rowOff>
    </xdr:from>
    <xdr:to>
      <xdr:col>9</xdr:col>
      <xdr:colOff>134306</xdr:colOff>
      <xdr:row>24</xdr:row>
      <xdr:rowOff>84667</xdr:rowOff>
    </xdr:to>
    <xdr:sp macro="" textlink="">
      <xdr:nvSpPr>
        <xdr:cNvPr id="338" name="Isosceles Triangle 337">
          <a:extLst>
            <a:ext uri="{FF2B5EF4-FFF2-40B4-BE49-F238E27FC236}">
              <a16:creationId xmlns:a16="http://schemas.microsoft.com/office/drawing/2014/main" id="{8D3107C5-52C3-405B-88DA-44CB2592B9EC}"/>
            </a:ext>
          </a:extLst>
        </xdr:cNvPr>
        <xdr:cNvSpPr/>
      </xdr:nvSpPr>
      <xdr:spPr>
        <a:xfrm>
          <a:off x="2952751" y="3556000"/>
          <a:ext cx="155472" cy="116417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190501</xdr:colOff>
      <xdr:row>4</xdr:row>
      <xdr:rowOff>74088</xdr:rowOff>
    </xdr:from>
    <xdr:to>
      <xdr:col>5</xdr:col>
      <xdr:colOff>10583</xdr:colOff>
      <xdr:row>21</xdr:row>
      <xdr:rowOff>74089</xdr:rowOff>
    </xdr:to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B12D1314-1080-479E-BAF7-C062230F391F}"/>
            </a:ext>
          </a:extLst>
        </xdr:cNvPr>
        <xdr:cNvSpPr txBox="1"/>
      </xdr:nvSpPr>
      <xdr:spPr>
        <a:xfrm rot="5400000">
          <a:off x="95250" y="1852089"/>
          <a:ext cx="2529418" cy="201082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3</xdr:col>
      <xdr:colOff>116416</xdr:colOff>
      <xdr:row>23</xdr:row>
      <xdr:rowOff>21169</xdr:rowOff>
    </xdr:from>
    <xdr:to>
      <xdr:col>5</xdr:col>
      <xdr:colOff>130767</xdr:colOff>
      <xdr:row>26</xdr:row>
      <xdr:rowOff>52917</xdr:rowOff>
    </xdr:to>
    <xdr:cxnSp macro="">
      <xdr:nvCxnSpPr>
        <xdr:cNvPr id="342" name="Straight Connector 341">
          <a:extLst>
            <a:ext uri="{FF2B5EF4-FFF2-40B4-BE49-F238E27FC236}">
              <a16:creationId xmlns:a16="http://schemas.microsoft.com/office/drawing/2014/main" id="{C7DA03B9-4973-45FC-A2FE-63E42268DF04}"/>
            </a:ext>
          </a:extLst>
        </xdr:cNvPr>
        <xdr:cNvCxnSpPr/>
      </xdr:nvCxnSpPr>
      <xdr:spPr>
        <a:xfrm flipV="1">
          <a:off x="804333" y="3460752"/>
          <a:ext cx="776351" cy="47624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127001</xdr:colOff>
      <xdr:row>18</xdr:row>
      <xdr:rowOff>21167</xdr:rowOff>
    </xdr:from>
    <xdr:to>
      <xdr:col>5</xdr:col>
      <xdr:colOff>271553</xdr:colOff>
      <xdr:row>19</xdr:row>
      <xdr:rowOff>17599</xdr:rowOff>
    </xdr:to>
    <xdr:grpSp>
      <xdr:nvGrpSpPr>
        <xdr:cNvPr id="344" name="Group 13">
          <a:extLst>
            <a:ext uri="{FF2B5EF4-FFF2-40B4-BE49-F238E27FC236}">
              <a16:creationId xmlns:a16="http://schemas.microsoft.com/office/drawing/2014/main" id="{BAE2B00F-0B9A-4195-A7CE-532CE84412D1}"/>
            </a:ext>
          </a:extLst>
        </xdr:cNvPr>
        <xdr:cNvGrpSpPr/>
      </xdr:nvGrpSpPr>
      <xdr:grpSpPr>
        <a:xfrm>
          <a:off x="1576918" y="2719917"/>
          <a:ext cx="144552" cy="144599"/>
          <a:chOff x="9937028" y="802652"/>
          <a:chExt cx="83991" cy="77961"/>
        </a:xfrm>
      </xdr:grpSpPr>
      <xdr:sp macro="" textlink="">
        <xdr:nvSpPr>
          <xdr:cNvPr id="345" name="Oval 1">
            <a:extLst>
              <a:ext uri="{FF2B5EF4-FFF2-40B4-BE49-F238E27FC236}">
                <a16:creationId xmlns:a16="http://schemas.microsoft.com/office/drawing/2014/main" id="{4F308DD6-9D1A-2636-75FF-28ED350D228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6" name="Straight Connector 3">
            <a:extLst>
              <a:ext uri="{FF2B5EF4-FFF2-40B4-BE49-F238E27FC236}">
                <a16:creationId xmlns:a16="http://schemas.microsoft.com/office/drawing/2014/main" id="{8F0468E9-9898-768F-D4E9-D48B875432C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7">
            <a:extLst>
              <a:ext uri="{FF2B5EF4-FFF2-40B4-BE49-F238E27FC236}">
                <a16:creationId xmlns:a16="http://schemas.microsoft.com/office/drawing/2014/main" id="{093AFF1F-5CCB-8F1B-8F71-E9A240AC4A1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108566</xdr:colOff>
      <xdr:row>19</xdr:row>
      <xdr:rowOff>7006</xdr:rowOff>
    </xdr:from>
    <xdr:to>
      <xdr:col>5</xdr:col>
      <xdr:colOff>232837</xdr:colOff>
      <xdr:row>22</xdr:row>
      <xdr:rowOff>80442</xdr:rowOff>
    </xdr:to>
    <xdr:cxnSp macro="">
      <xdr:nvCxnSpPr>
        <xdr:cNvPr id="348" name="Straight Connector 347">
          <a:extLst>
            <a:ext uri="{FF2B5EF4-FFF2-40B4-BE49-F238E27FC236}">
              <a16:creationId xmlns:a16="http://schemas.microsoft.com/office/drawing/2014/main" id="{F051155A-6592-436A-B5E8-6EA642EF089E}"/>
            </a:ext>
          </a:extLst>
        </xdr:cNvPr>
        <xdr:cNvCxnSpPr>
          <a:stCxn id="268" idx="7"/>
        </xdr:cNvCxnSpPr>
      </xdr:nvCxnSpPr>
      <xdr:spPr>
        <a:xfrm flipV="1">
          <a:off x="1558483" y="2853923"/>
          <a:ext cx="124271" cy="51793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243419</xdr:colOff>
      <xdr:row>22</xdr:row>
      <xdr:rowOff>84667</xdr:rowOff>
    </xdr:from>
    <xdr:to>
      <xdr:col>5</xdr:col>
      <xdr:colOff>27899</xdr:colOff>
      <xdr:row>24</xdr:row>
      <xdr:rowOff>105842</xdr:rowOff>
    </xdr:to>
    <xdr:cxnSp macro="">
      <xdr:nvCxnSpPr>
        <xdr:cNvPr id="354" name="Straight Connector 353">
          <a:extLst>
            <a:ext uri="{FF2B5EF4-FFF2-40B4-BE49-F238E27FC236}">
              <a16:creationId xmlns:a16="http://schemas.microsoft.com/office/drawing/2014/main" id="{C92582E8-C652-4B41-A840-45C004696265}"/>
            </a:ext>
          </a:extLst>
        </xdr:cNvPr>
        <xdr:cNvCxnSpPr>
          <a:stCxn id="272" idx="1"/>
        </xdr:cNvCxnSpPr>
      </xdr:nvCxnSpPr>
      <xdr:spPr>
        <a:xfrm flipV="1">
          <a:off x="931336" y="3376084"/>
          <a:ext cx="546480" cy="31750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179916</xdr:colOff>
      <xdr:row>23</xdr:row>
      <xdr:rowOff>74084</xdr:rowOff>
    </xdr:from>
    <xdr:to>
      <xdr:col>3</xdr:col>
      <xdr:colOff>296333</xdr:colOff>
      <xdr:row>24</xdr:row>
      <xdr:rowOff>114620</xdr:rowOff>
    </xdr:to>
    <xdr:cxnSp macro="">
      <xdr:nvCxnSpPr>
        <xdr:cNvPr id="356" name="Straight Arrow Connector 355">
          <a:extLst>
            <a:ext uri="{FF2B5EF4-FFF2-40B4-BE49-F238E27FC236}">
              <a16:creationId xmlns:a16="http://schemas.microsoft.com/office/drawing/2014/main" id="{2B04EDD2-B56D-4100-9BB5-A325049BB712}"/>
            </a:ext>
          </a:extLst>
        </xdr:cNvPr>
        <xdr:cNvCxnSpPr/>
      </xdr:nvCxnSpPr>
      <xdr:spPr>
        <a:xfrm flipH="1" flipV="1">
          <a:off x="867833" y="3513667"/>
          <a:ext cx="116417" cy="1887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52916</xdr:colOff>
      <xdr:row>25</xdr:row>
      <xdr:rowOff>8799</xdr:rowOff>
    </xdr:from>
    <xdr:to>
      <xdr:col>3</xdr:col>
      <xdr:colOff>222250</xdr:colOff>
      <xdr:row>25</xdr:row>
      <xdr:rowOff>127000</xdr:rowOff>
    </xdr:to>
    <xdr:cxnSp macro="">
      <xdr:nvCxnSpPr>
        <xdr:cNvPr id="358" name="Straight Arrow Connector 357">
          <a:extLst>
            <a:ext uri="{FF2B5EF4-FFF2-40B4-BE49-F238E27FC236}">
              <a16:creationId xmlns:a16="http://schemas.microsoft.com/office/drawing/2014/main" id="{FDABA1C9-AAE9-4EC8-9BE1-7FE641ECDDBF}"/>
            </a:ext>
          </a:extLst>
        </xdr:cNvPr>
        <xdr:cNvCxnSpPr>
          <a:stCxn id="272" idx="2"/>
        </xdr:cNvCxnSpPr>
      </xdr:nvCxnSpPr>
      <xdr:spPr>
        <a:xfrm flipH="1">
          <a:off x="740833" y="3744716"/>
          <a:ext cx="169334" cy="1182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148167</xdr:colOff>
      <xdr:row>7</xdr:row>
      <xdr:rowOff>74084</xdr:rowOff>
    </xdr:from>
    <xdr:to>
      <xdr:col>5</xdr:col>
      <xdr:colOff>292719</xdr:colOff>
      <xdr:row>8</xdr:row>
      <xdr:rowOff>70516</xdr:rowOff>
    </xdr:to>
    <xdr:grpSp>
      <xdr:nvGrpSpPr>
        <xdr:cNvPr id="366" name="Group 13">
          <a:extLst>
            <a:ext uri="{FF2B5EF4-FFF2-40B4-BE49-F238E27FC236}">
              <a16:creationId xmlns:a16="http://schemas.microsoft.com/office/drawing/2014/main" id="{00808E04-34AF-48F8-B7C6-5A5D1DDF889D}"/>
            </a:ext>
          </a:extLst>
        </xdr:cNvPr>
        <xdr:cNvGrpSpPr/>
      </xdr:nvGrpSpPr>
      <xdr:grpSpPr>
        <a:xfrm>
          <a:off x="1598084" y="1132417"/>
          <a:ext cx="144552" cy="144599"/>
          <a:chOff x="9937028" y="802652"/>
          <a:chExt cx="83991" cy="77961"/>
        </a:xfrm>
      </xdr:grpSpPr>
      <xdr:sp macro="" textlink="">
        <xdr:nvSpPr>
          <xdr:cNvPr id="367" name="Oval 1">
            <a:extLst>
              <a:ext uri="{FF2B5EF4-FFF2-40B4-BE49-F238E27FC236}">
                <a16:creationId xmlns:a16="http://schemas.microsoft.com/office/drawing/2014/main" id="{F719BCA1-380E-E4AC-9549-6C6ADEB00A6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8" name="Straight Connector 3">
            <a:extLst>
              <a:ext uri="{FF2B5EF4-FFF2-40B4-BE49-F238E27FC236}">
                <a16:creationId xmlns:a16="http://schemas.microsoft.com/office/drawing/2014/main" id="{7237C444-0033-53D6-A149-39D9B9EF5B3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9" name="Straight Connector 7">
            <a:extLst>
              <a:ext uri="{FF2B5EF4-FFF2-40B4-BE49-F238E27FC236}">
                <a16:creationId xmlns:a16="http://schemas.microsoft.com/office/drawing/2014/main" id="{D5BE7DE4-9BED-4753-7A48-A51EFDDB547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131233</xdr:colOff>
      <xdr:row>10</xdr:row>
      <xdr:rowOff>46568</xdr:rowOff>
    </xdr:from>
    <xdr:to>
      <xdr:col>5</xdr:col>
      <xdr:colOff>275785</xdr:colOff>
      <xdr:row>11</xdr:row>
      <xdr:rowOff>43000</xdr:rowOff>
    </xdr:to>
    <xdr:grpSp>
      <xdr:nvGrpSpPr>
        <xdr:cNvPr id="370" name="Group 13">
          <a:extLst>
            <a:ext uri="{FF2B5EF4-FFF2-40B4-BE49-F238E27FC236}">
              <a16:creationId xmlns:a16="http://schemas.microsoft.com/office/drawing/2014/main" id="{6C41113E-EC91-4605-9AD9-564BBA07AFDA}"/>
            </a:ext>
          </a:extLst>
        </xdr:cNvPr>
        <xdr:cNvGrpSpPr/>
      </xdr:nvGrpSpPr>
      <xdr:grpSpPr>
        <a:xfrm>
          <a:off x="1581150" y="1549401"/>
          <a:ext cx="144552" cy="144599"/>
          <a:chOff x="9937028" y="802652"/>
          <a:chExt cx="83991" cy="77961"/>
        </a:xfrm>
      </xdr:grpSpPr>
      <xdr:sp macro="" textlink="">
        <xdr:nvSpPr>
          <xdr:cNvPr id="371" name="Oval 1">
            <a:extLst>
              <a:ext uri="{FF2B5EF4-FFF2-40B4-BE49-F238E27FC236}">
                <a16:creationId xmlns:a16="http://schemas.microsoft.com/office/drawing/2014/main" id="{BC79F2B0-63E7-6CF3-0836-6A86B56EE93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2" name="Straight Connector 3">
            <a:extLst>
              <a:ext uri="{FF2B5EF4-FFF2-40B4-BE49-F238E27FC236}">
                <a16:creationId xmlns:a16="http://schemas.microsoft.com/office/drawing/2014/main" id="{7FDD1AF3-393B-8B9C-EB11-B62409E1D0B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Connector 7">
            <a:extLst>
              <a:ext uri="{FF2B5EF4-FFF2-40B4-BE49-F238E27FC236}">
                <a16:creationId xmlns:a16="http://schemas.microsoft.com/office/drawing/2014/main" id="{B6D829CF-462E-12FE-B4E0-580A09C34F3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135466</xdr:colOff>
      <xdr:row>12</xdr:row>
      <xdr:rowOff>114300</xdr:rowOff>
    </xdr:from>
    <xdr:to>
      <xdr:col>5</xdr:col>
      <xdr:colOff>280018</xdr:colOff>
      <xdr:row>13</xdr:row>
      <xdr:rowOff>100149</xdr:rowOff>
    </xdr:to>
    <xdr:grpSp>
      <xdr:nvGrpSpPr>
        <xdr:cNvPr id="374" name="Group 13">
          <a:extLst>
            <a:ext uri="{FF2B5EF4-FFF2-40B4-BE49-F238E27FC236}">
              <a16:creationId xmlns:a16="http://schemas.microsoft.com/office/drawing/2014/main" id="{58240B45-1727-4FA0-AE94-003251360295}"/>
            </a:ext>
          </a:extLst>
        </xdr:cNvPr>
        <xdr:cNvGrpSpPr/>
      </xdr:nvGrpSpPr>
      <xdr:grpSpPr>
        <a:xfrm>
          <a:off x="1585383" y="1913467"/>
          <a:ext cx="144552" cy="144599"/>
          <a:chOff x="9937028" y="802652"/>
          <a:chExt cx="83991" cy="77961"/>
        </a:xfrm>
      </xdr:grpSpPr>
      <xdr:sp macro="" textlink="">
        <xdr:nvSpPr>
          <xdr:cNvPr id="375" name="Oval 1">
            <a:extLst>
              <a:ext uri="{FF2B5EF4-FFF2-40B4-BE49-F238E27FC236}">
                <a16:creationId xmlns:a16="http://schemas.microsoft.com/office/drawing/2014/main" id="{8A28FCD0-8DE3-40D8-33DC-BF4ED31481C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6" name="Straight Connector 3">
            <a:extLst>
              <a:ext uri="{FF2B5EF4-FFF2-40B4-BE49-F238E27FC236}">
                <a16:creationId xmlns:a16="http://schemas.microsoft.com/office/drawing/2014/main" id="{3533B3EC-611F-81E5-7263-F203792A1FB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7" name="Straight Connector 7">
            <a:extLst>
              <a:ext uri="{FF2B5EF4-FFF2-40B4-BE49-F238E27FC236}">
                <a16:creationId xmlns:a16="http://schemas.microsoft.com/office/drawing/2014/main" id="{CB97E09D-0B3C-FE50-DD4A-14111305538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129116</xdr:colOff>
      <xdr:row>15</xdr:row>
      <xdr:rowOff>33867</xdr:rowOff>
    </xdr:from>
    <xdr:to>
      <xdr:col>5</xdr:col>
      <xdr:colOff>273668</xdr:colOff>
      <xdr:row>16</xdr:row>
      <xdr:rowOff>30299</xdr:rowOff>
    </xdr:to>
    <xdr:grpSp>
      <xdr:nvGrpSpPr>
        <xdr:cNvPr id="378" name="Group 13">
          <a:extLst>
            <a:ext uri="{FF2B5EF4-FFF2-40B4-BE49-F238E27FC236}">
              <a16:creationId xmlns:a16="http://schemas.microsoft.com/office/drawing/2014/main" id="{DD9603F4-A648-496B-BD6D-B1940E4192C6}"/>
            </a:ext>
          </a:extLst>
        </xdr:cNvPr>
        <xdr:cNvGrpSpPr/>
      </xdr:nvGrpSpPr>
      <xdr:grpSpPr>
        <a:xfrm>
          <a:off x="1579033" y="2288117"/>
          <a:ext cx="144552" cy="144599"/>
          <a:chOff x="9937028" y="802652"/>
          <a:chExt cx="83991" cy="77961"/>
        </a:xfrm>
      </xdr:grpSpPr>
      <xdr:sp macro="" textlink="">
        <xdr:nvSpPr>
          <xdr:cNvPr id="379" name="Oval 1">
            <a:extLst>
              <a:ext uri="{FF2B5EF4-FFF2-40B4-BE49-F238E27FC236}">
                <a16:creationId xmlns:a16="http://schemas.microsoft.com/office/drawing/2014/main" id="{37D34079-5140-4BA1-A077-AB768739F2E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0" name="Straight Connector 3">
            <a:extLst>
              <a:ext uri="{FF2B5EF4-FFF2-40B4-BE49-F238E27FC236}">
                <a16:creationId xmlns:a16="http://schemas.microsoft.com/office/drawing/2014/main" id="{88A270DC-F4B4-6953-1D5B-BD284A47350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1" name="Straight Connector 7">
            <a:extLst>
              <a:ext uri="{FF2B5EF4-FFF2-40B4-BE49-F238E27FC236}">
                <a16:creationId xmlns:a16="http://schemas.microsoft.com/office/drawing/2014/main" id="{B7A66F8F-F4A3-E238-F738-ACBB421A7C5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250384</xdr:colOff>
      <xdr:row>4</xdr:row>
      <xdr:rowOff>127000</xdr:rowOff>
    </xdr:from>
    <xdr:to>
      <xdr:col>5</xdr:col>
      <xdr:colOff>275166</xdr:colOff>
      <xdr:row>18</xdr:row>
      <xdr:rowOff>42343</xdr:rowOff>
    </xdr:to>
    <xdr:cxnSp macro="">
      <xdr:nvCxnSpPr>
        <xdr:cNvPr id="382" name="Straight Connector 139">
          <a:extLst>
            <a:ext uri="{FF2B5EF4-FFF2-40B4-BE49-F238E27FC236}">
              <a16:creationId xmlns:a16="http://schemas.microsoft.com/office/drawing/2014/main" id="{B30018D3-268B-4A20-9FF4-19116CBBF39B}"/>
            </a:ext>
          </a:extLst>
        </xdr:cNvPr>
        <xdr:cNvCxnSpPr>
          <a:cxnSpLocks/>
          <a:stCxn id="345" idx="7"/>
        </xdr:cNvCxnSpPr>
      </xdr:nvCxnSpPr>
      <xdr:spPr bwMode="auto">
        <a:xfrm flipV="1">
          <a:off x="1700301" y="740833"/>
          <a:ext cx="24782" cy="20002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119009</xdr:colOff>
      <xdr:row>20</xdr:row>
      <xdr:rowOff>134991</xdr:rowOff>
    </xdr:from>
    <xdr:to>
      <xdr:col>5</xdr:col>
      <xdr:colOff>197647</xdr:colOff>
      <xdr:row>21</xdr:row>
      <xdr:rowOff>70646</xdr:rowOff>
    </xdr:to>
    <xdr:grpSp>
      <xdr:nvGrpSpPr>
        <xdr:cNvPr id="385" name="Group 73">
          <a:extLst>
            <a:ext uri="{FF2B5EF4-FFF2-40B4-BE49-F238E27FC236}">
              <a16:creationId xmlns:a16="http://schemas.microsoft.com/office/drawing/2014/main" id="{9A4AD87D-F51D-434C-8968-B719F52E945A}"/>
            </a:ext>
          </a:extLst>
        </xdr:cNvPr>
        <xdr:cNvGrpSpPr/>
      </xdr:nvGrpSpPr>
      <xdr:grpSpPr>
        <a:xfrm rot="5139188">
          <a:off x="1566334" y="3132666"/>
          <a:ext cx="83822" cy="78638"/>
          <a:chOff x="12175074" y="2285812"/>
          <a:chExt cx="107252" cy="65186"/>
        </a:xfrm>
      </xdr:grpSpPr>
      <xdr:cxnSp macro="">
        <xdr:nvCxnSpPr>
          <xdr:cNvPr id="386" name="Straight Connector 74">
            <a:extLst>
              <a:ext uri="{FF2B5EF4-FFF2-40B4-BE49-F238E27FC236}">
                <a16:creationId xmlns:a16="http://schemas.microsoft.com/office/drawing/2014/main" id="{885E6750-7641-0FD7-3863-BAF93A2729B0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7" name="Straight Connector 75">
            <a:extLst>
              <a:ext uri="{FF2B5EF4-FFF2-40B4-BE49-F238E27FC236}">
                <a16:creationId xmlns:a16="http://schemas.microsoft.com/office/drawing/2014/main" id="{14DA2721-5019-9E9F-9F24-B496C67A1E9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8" name="Straight Connector 76">
            <a:extLst>
              <a:ext uri="{FF2B5EF4-FFF2-40B4-BE49-F238E27FC236}">
                <a16:creationId xmlns:a16="http://schemas.microsoft.com/office/drawing/2014/main" id="{EEC80237-5176-6708-8C0E-89D939280B6B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229074</xdr:colOff>
      <xdr:row>16</xdr:row>
      <xdr:rowOff>96891</xdr:rowOff>
    </xdr:from>
    <xdr:to>
      <xdr:col>5</xdr:col>
      <xdr:colOff>307712</xdr:colOff>
      <xdr:row>17</xdr:row>
      <xdr:rowOff>32547</xdr:rowOff>
    </xdr:to>
    <xdr:grpSp>
      <xdr:nvGrpSpPr>
        <xdr:cNvPr id="389" name="Group 73">
          <a:extLst>
            <a:ext uri="{FF2B5EF4-FFF2-40B4-BE49-F238E27FC236}">
              <a16:creationId xmlns:a16="http://schemas.microsoft.com/office/drawing/2014/main" id="{A890BA18-63E5-46B6-8521-A0DC7D0931FB}"/>
            </a:ext>
          </a:extLst>
        </xdr:cNvPr>
        <xdr:cNvGrpSpPr/>
      </xdr:nvGrpSpPr>
      <xdr:grpSpPr>
        <a:xfrm rot="4541833">
          <a:off x="1676399" y="2501900"/>
          <a:ext cx="83822" cy="78638"/>
          <a:chOff x="12175074" y="2285812"/>
          <a:chExt cx="107252" cy="65186"/>
        </a:xfrm>
      </xdr:grpSpPr>
      <xdr:cxnSp macro="">
        <xdr:nvCxnSpPr>
          <xdr:cNvPr id="390" name="Straight Connector 74">
            <a:extLst>
              <a:ext uri="{FF2B5EF4-FFF2-40B4-BE49-F238E27FC236}">
                <a16:creationId xmlns:a16="http://schemas.microsoft.com/office/drawing/2014/main" id="{B83E0008-2D96-A859-B29A-9C077C1F5FB6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1" name="Straight Connector 75">
            <a:extLst>
              <a:ext uri="{FF2B5EF4-FFF2-40B4-BE49-F238E27FC236}">
                <a16:creationId xmlns:a16="http://schemas.microsoft.com/office/drawing/2014/main" id="{57CE82D5-27CF-C78C-7AE9-848EF163351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2" name="Straight Connector 76">
            <a:extLst>
              <a:ext uri="{FF2B5EF4-FFF2-40B4-BE49-F238E27FC236}">
                <a16:creationId xmlns:a16="http://schemas.microsoft.com/office/drawing/2014/main" id="{84EC04C3-AE82-9E99-F4F2-1C9B7981A34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224843</xdr:colOff>
      <xdr:row>11</xdr:row>
      <xdr:rowOff>113825</xdr:rowOff>
    </xdr:from>
    <xdr:to>
      <xdr:col>5</xdr:col>
      <xdr:colOff>303481</xdr:colOff>
      <xdr:row>12</xdr:row>
      <xdr:rowOff>49480</xdr:rowOff>
    </xdr:to>
    <xdr:grpSp>
      <xdr:nvGrpSpPr>
        <xdr:cNvPr id="394" name="Group 73">
          <a:extLst>
            <a:ext uri="{FF2B5EF4-FFF2-40B4-BE49-F238E27FC236}">
              <a16:creationId xmlns:a16="http://schemas.microsoft.com/office/drawing/2014/main" id="{F6B4CCCA-7AC8-48C5-B63E-8DE5B01B7163}"/>
            </a:ext>
          </a:extLst>
        </xdr:cNvPr>
        <xdr:cNvGrpSpPr/>
      </xdr:nvGrpSpPr>
      <xdr:grpSpPr>
        <a:xfrm rot="5065990">
          <a:off x="1672168" y="1767417"/>
          <a:ext cx="83822" cy="78638"/>
          <a:chOff x="12175074" y="2285812"/>
          <a:chExt cx="107252" cy="65186"/>
        </a:xfrm>
      </xdr:grpSpPr>
      <xdr:cxnSp macro="">
        <xdr:nvCxnSpPr>
          <xdr:cNvPr id="395" name="Straight Connector 74">
            <a:extLst>
              <a:ext uri="{FF2B5EF4-FFF2-40B4-BE49-F238E27FC236}">
                <a16:creationId xmlns:a16="http://schemas.microsoft.com/office/drawing/2014/main" id="{5B03B8E0-3ED2-E420-F692-5810E4EFE846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6" name="Straight Connector 75">
            <a:extLst>
              <a:ext uri="{FF2B5EF4-FFF2-40B4-BE49-F238E27FC236}">
                <a16:creationId xmlns:a16="http://schemas.microsoft.com/office/drawing/2014/main" id="{4A32C699-380A-8360-9D04-A5DC56F9C82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7" name="Straight Connector 76">
            <a:extLst>
              <a:ext uri="{FF2B5EF4-FFF2-40B4-BE49-F238E27FC236}">
                <a16:creationId xmlns:a16="http://schemas.microsoft.com/office/drawing/2014/main" id="{C3A565DE-6305-45E1-4C62-3DA2D1F366B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214259</xdr:colOff>
      <xdr:row>14</xdr:row>
      <xdr:rowOff>50326</xdr:rowOff>
    </xdr:from>
    <xdr:to>
      <xdr:col>5</xdr:col>
      <xdr:colOff>292897</xdr:colOff>
      <xdr:row>14</xdr:row>
      <xdr:rowOff>134148</xdr:rowOff>
    </xdr:to>
    <xdr:grpSp>
      <xdr:nvGrpSpPr>
        <xdr:cNvPr id="398" name="Group 73">
          <a:extLst>
            <a:ext uri="{FF2B5EF4-FFF2-40B4-BE49-F238E27FC236}">
              <a16:creationId xmlns:a16="http://schemas.microsoft.com/office/drawing/2014/main" id="{F05524B4-8586-4D6E-88B3-5FEAA61E8B0D}"/>
            </a:ext>
          </a:extLst>
        </xdr:cNvPr>
        <xdr:cNvGrpSpPr/>
      </xdr:nvGrpSpPr>
      <xdr:grpSpPr>
        <a:xfrm rot="4732164">
          <a:off x="1661584" y="2159001"/>
          <a:ext cx="83822" cy="78638"/>
          <a:chOff x="12175074" y="2285812"/>
          <a:chExt cx="107252" cy="65186"/>
        </a:xfrm>
      </xdr:grpSpPr>
      <xdr:cxnSp macro="">
        <xdr:nvCxnSpPr>
          <xdr:cNvPr id="399" name="Straight Connector 74">
            <a:extLst>
              <a:ext uri="{FF2B5EF4-FFF2-40B4-BE49-F238E27FC236}">
                <a16:creationId xmlns:a16="http://schemas.microsoft.com/office/drawing/2014/main" id="{ECD9F5B6-5B72-3EE4-A78D-F682BC1A4A2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0" name="Straight Connector 75">
            <a:extLst>
              <a:ext uri="{FF2B5EF4-FFF2-40B4-BE49-F238E27FC236}">
                <a16:creationId xmlns:a16="http://schemas.microsoft.com/office/drawing/2014/main" id="{7B0F414F-90E1-74F6-7DEF-FFF8D21BB21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1" name="Straight Connector 76">
            <a:extLst>
              <a:ext uri="{FF2B5EF4-FFF2-40B4-BE49-F238E27FC236}">
                <a16:creationId xmlns:a16="http://schemas.microsoft.com/office/drawing/2014/main" id="{AF508C96-8BC5-58F9-0231-371141E07A0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224842</xdr:colOff>
      <xdr:row>9</xdr:row>
      <xdr:rowOff>7991</xdr:rowOff>
    </xdr:from>
    <xdr:to>
      <xdr:col>5</xdr:col>
      <xdr:colOff>303480</xdr:colOff>
      <xdr:row>9</xdr:row>
      <xdr:rowOff>91813</xdr:rowOff>
    </xdr:to>
    <xdr:grpSp>
      <xdr:nvGrpSpPr>
        <xdr:cNvPr id="402" name="Group 73">
          <a:extLst>
            <a:ext uri="{FF2B5EF4-FFF2-40B4-BE49-F238E27FC236}">
              <a16:creationId xmlns:a16="http://schemas.microsoft.com/office/drawing/2014/main" id="{1750967E-9797-4855-84E9-F537FECC8C25}"/>
            </a:ext>
          </a:extLst>
        </xdr:cNvPr>
        <xdr:cNvGrpSpPr/>
      </xdr:nvGrpSpPr>
      <xdr:grpSpPr>
        <a:xfrm rot="4676376">
          <a:off x="1672167" y="1365250"/>
          <a:ext cx="83822" cy="78638"/>
          <a:chOff x="12175074" y="2285812"/>
          <a:chExt cx="107252" cy="65186"/>
        </a:xfrm>
      </xdr:grpSpPr>
      <xdr:cxnSp macro="">
        <xdr:nvCxnSpPr>
          <xdr:cNvPr id="403" name="Straight Connector 74">
            <a:extLst>
              <a:ext uri="{FF2B5EF4-FFF2-40B4-BE49-F238E27FC236}">
                <a16:creationId xmlns:a16="http://schemas.microsoft.com/office/drawing/2014/main" id="{D8205BD1-898B-7092-074B-28770EA23134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4" name="Straight Connector 75">
            <a:extLst>
              <a:ext uri="{FF2B5EF4-FFF2-40B4-BE49-F238E27FC236}">
                <a16:creationId xmlns:a16="http://schemas.microsoft.com/office/drawing/2014/main" id="{C5439557-4D4A-51BB-A156-4A175C2ED48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5" name="Straight Connector 76">
            <a:extLst>
              <a:ext uri="{FF2B5EF4-FFF2-40B4-BE49-F238E27FC236}">
                <a16:creationId xmlns:a16="http://schemas.microsoft.com/office/drawing/2014/main" id="{E5B2E986-F8FF-71CD-3D08-F7866552B1F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6352</xdr:colOff>
      <xdr:row>18</xdr:row>
      <xdr:rowOff>105834</xdr:rowOff>
    </xdr:from>
    <xdr:to>
      <xdr:col>5</xdr:col>
      <xdr:colOff>128808</xdr:colOff>
      <xdr:row>22</xdr:row>
      <xdr:rowOff>80442</xdr:rowOff>
    </xdr:to>
    <xdr:cxnSp macro="">
      <xdr:nvCxnSpPr>
        <xdr:cNvPr id="408" name="Straight Connector 164">
          <a:extLst>
            <a:ext uri="{FF2B5EF4-FFF2-40B4-BE49-F238E27FC236}">
              <a16:creationId xmlns:a16="http://schemas.microsoft.com/office/drawing/2014/main" id="{FCA47E99-D0E4-431C-B425-04F62911B400}"/>
            </a:ext>
          </a:extLst>
        </xdr:cNvPr>
        <xdr:cNvCxnSpPr>
          <a:cxnSpLocks/>
          <a:stCxn id="268" idx="1"/>
        </xdr:cNvCxnSpPr>
      </xdr:nvCxnSpPr>
      <xdr:spPr bwMode="auto">
        <a:xfrm flipV="1">
          <a:off x="1456269" y="2804584"/>
          <a:ext cx="122456" cy="56727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433917</xdr:colOff>
      <xdr:row>7</xdr:row>
      <xdr:rowOff>105833</xdr:rowOff>
    </xdr:from>
    <xdr:to>
      <xdr:col>3</xdr:col>
      <xdr:colOff>93778</xdr:colOff>
      <xdr:row>8</xdr:row>
      <xdr:rowOff>94607</xdr:rowOff>
    </xdr:to>
    <xdr:grpSp>
      <xdr:nvGrpSpPr>
        <xdr:cNvPr id="412" name="Group 13">
          <a:extLst>
            <a:ext uri="{FF2B5EF4-FFF2-40B4-BE49-F238E27FC236}">
              <a16:creationId xmlns:a16="http://schemas.microsoft.com/office/drawing/2014/main" id="{631CC0F5-5D0F-4E52-AF1A-814B704517A0}"/>
            </a:ext>
          </a:extLst>
        </xdr:cNvPr>
        <xdr:cNvGrpSpPr/>
      </xdr:nvGrpSpPr>
      <xdr:grpSpPr>
        <a:xfrm>
          <a:off x="624417" y="1164166"/>
          <a:ext cx="157278" cy="136941"/>
          <a:chOff x="9937028" y="802652"/>
          <a:chExt cx="83991" cy="77961"/>
        </a:xfrm>
      </xdr:grpSpPr>
      <xdr:sp macro="" textlink="">
        <xdr:nvSpPr>
          <xdr:cNvPr id="413" name="Oval 1">
            <a:extLst>
              <a:ext uri="{FF2B5EF4-FFF2-40B4-BE49-F238E27FC236}">
                <a16:creationId xmlns:a16="http://schemas.microsoft.com/office/drawing/2014/main" id="{0B648400-3B74-1477-6F25-571D0567423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14" name="Straight Connector 3">
            <a:extLst>
              <a:ext uri="{FF2B5EF4-FFF2-40B4-BE49-F238E27FC236}">
                <a16:creationId xmlns:a16="http://schemas.microsoft.com/office/drawing/2014/main" id="{79DD366F-1E9D-819B-CAFD-E62B04A7AB5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5" name="Straight Connector 7">
            <a:extLst>
              <a:ext uri="{FF2B5EF4-FFF2-40B4-BE49-F238E27FC236}">
                <a16:creationId xmlns:a16="http://schemas.microsoft.com/office/drawing/2014/main" id="{86136220-3BFD-6B11-5F16-2F94C0713E3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359833</xdr:colOff>
      <xdr:row>7</xdr:row>
      <xdr:rowOff>95250</xdr:rowOff>
    </xdr:from>
    <xdr:to>
      <xdr:col>4</xdr:col>
      <xdr:colOff>136111</xdr:colOff>
      <xdr:row>8</xdr:row>
      <xdr:rowOff>84024</xdr:rowOff>
    </xdr:to>
    <xdr:grpSp>
      <xdr:nvGrpSpPr>
        <xdr:cNvPr id="416" name="Group 13">
          <a:extLst>
            <a:ext uri="{FF2B5EF4-FFF2-40B4-BE49-F238E27FC236}">
              <a16:creationId xmlns:a16="http://schemas.microsoft.com/office/drawing/2014/main" id="{A4E5E478-E57E-41A6-869B-8693AFEB4FFA}"/>
            </a:ext>
          </a:extLst>
        </xdr:cNvPr>
        <xdr:cNvGrpSpPr/>
      </xdr:nvGrpSpPr>
      <xdr:grpSpPr>
        <a:xfrm>
          <a:off x="1047750" y="1153583"/>
          <a:ext cx="157278" cy="136941"/>
          <a:chOff x="9937028" y="802652"/>
          <a:chExt cx="83991" cy="77961"/>
        </a:xfrm>
      </xdr:grpSpPr>
      <xdr:sp macro="" textlink="">
        <xdr:nvSpPr>
          <xdr:cNvPr id="417" name="Oval 1">
            <a:extLst>
              <a:ext uri="{FF2B5EF4-FFF2-40B4-BE49-F238E27FC236}">
                <a16:creationId xmlns:a16="http://schemas.microsoft.com/office/drawing/2014/main" id="{5F6506EA-B300-D987-C6AB-986A491F6BD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18" name="Straight Connector 3">
            <a:extLst>
              <a:ext uri="{FF2B5EF4-FFF2-40B4-BE49-F238E27FC236}">
                <a16:creationId xmlns:a16="http://schemas.microsoft.com/office/drawing/2014/main" id="{BE7165D3-1F32-CE27-0D26-06E34A7FC08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9" name="Straight Connector 7">
            <a:extLst>
              <a:ext uri="{FF2B5EF4-FFF2-40B4-BE49-F238E27FC236}">
                <a16:creationId xmlns:a16="http://schemas.microsoft.com/office/drawing/2014/main" id="{F9E602F8-3F8A-400C-DE9D-954E2DD38FC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93778</xdr:colOff>
      <xdr:row>8</xdr:row>
      <xdr:rowOff>10584</xdr:rowOff>
    </xdr:from>
    <xdr:to>
      <xdr:col>5</xdr:col>
      <xdr:colOff>165482</xdr:colOff>
      <xdr:row>8</xdr:row>
      <xdr:rowOff>26137</xdr:rowOff>
    </xdr:to>
    <xdr:cxnSp macro="">
      <xdr:nvCxnSpPr>
        <xdr:cNvPr id="420" name="Straight Connector 419">
          <a:extLst>
            <a:ext uri="{FF2B5EF4-FFF2-40B4-BE49-F238E27FC236}">
              <a16:creationId xmlns:a16="http://schemas.microsoft.com/office/drawing/2014/main" id="{5C21D2A7-E566-43CC-937B-B00EBDE484EE}"/>
            </a:ext>
          </a:extLst>
        </xdr:cNvPr>
        <xdr:cNvCxnSpPr>
          <a:stCxn id="413" idx="6"/>
        </xdr:cNvCxnSpPr>
      </xdr:nvCxnSpPr>
      <xdr:spPr>
        <a:xfrm flipV="1">
          <a:off x="781695" y="1217084"/>
          <a:ext cx="833704" cy="1555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7</xdr:row>
      <xdr:rowOff>127000</xdr:rowOff>
    </xdr:from>
    <xdr:to>
      <xdr:col>2</xdr:col>
      <xdr:colOff>465667</xdr:colOff>
      <xdr:row>7</xdr:row>
      <xdr:rowOff>135786</xdr:rowOff>
    </xdr:to>
    <xdr:cxnSp macro="">
      <xdr:nvCxnSpPr>
        <xdr:cNvPr id="422" name="Straight Arrow Connector 421">
          <a:extLst>
            <a:ext uri="{FF2B5EF4-FFF2-40B4-BE49-F238E27FC236}">
              <a16:creationId xmlns:a16="http://schemas.microsoft.com/office/drawing/2014/main" id="{84FD81BA-0116-466E-A97B-EE3595079813}"/>
            </a:ext>
          </a:extLst>
        </xdr:cNvPr>
        <xdr:cNvCxnSpPr/>
      </xdr:nvCxnSpPr>
      <xdr:spPr>
        <a:xfrm flipH="1" flipV="1">
          <a:off x="444500" y="1185333"/>
          <a:ext cx="211667" cy="878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148167</xdr:colOff>
      <xdr:row>11</xdr:row>
      <xdr:rowOff>148166</xdr:rowOff>
    </xdr:from>
    <xdr:to>
      <xdr:col>2</xdr:col>
      <xdr:colOff>313902</xdr:colOff>
      <xdr:row>12</xdr:row>
      <xdr:rowOff>148166</xdr:rowOff>
    </xdr:to>
    <xdr:sp macro="" textlink="">
      <xdr:nvSpPr>
        <xdr:cNvPr id="424" name="Rectangle 146">
          <a:extLst>
            <a:ext uri="{FF2B5EF4-FFF2-40B4-BE49-F238E27FC236}">
              <a16:creationId xmlns:a16="http://schemas.microsoft.com/office/drawing/2014/main" id="{E50412E7-0559-4409-ABC1-6B3E697D4B54}"/>
            </a:ext>
          </a:extLst>
        </xdr:cNvPr>
        <xdr:cNvSpPr/>
      </xdr:nvSpPr>
      <xdr:spPr>
        <a:xfrm>
          <a:off x="338667" y="1799166"/>
          <a:ext cx="165735" cy="1481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231035</xdr:colOff>
      <xdr:row>8</xdr:row>
      <xdr:rowOff>84666</xdr:rowOff>
    </xdr:from>
    <xdr:to>
      <xdr:col>2</xdr:col>
      <xdr:colOff>476251</xdr:colOff>
      <xdr:row>11</xdr:row>
      <xdr:rowOff>148166</xdr:rowOff>
    </xdr:to>
    <xdr:cxnSp macro="">
      <xdr:nvCxnSpPr>
        <xdr:cNvPr id="425" name="Straight Connector 424">
          <a:extLst>
            <a:ext uri="{FF2B5EF4-FFF2-40B4-BE49-F238E27FC236}">
              <a16:creationId xmlns:a16="http://schemas.microsoft.com/office/drawing/2014/main" id="{B33E8E52-7C95-4063-8265-79DA43AD8555}"/>
            </a:ext>
          </a:extLst>
        </xdr:cNvPr>
        <xdr:cNvCxnSpPr>
          <a:stCxn id="424" idx="0"/>
        </xdr:cNvCxnSpPr>
      </xdr:nvCxnSpPr>
      <xdr:spPr>
        <a:xfrm flipV="1">
          <a:off x="421535" y="1291166"/>
          <a:ext cx="245216" cy="5080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345633</xdr:colOff>
      <xdr:row>22</xdr:row>
      <xdr:rowOff>131566</xdr:rowOff>
    </xdr:from>
    <xdr:to>
      <xdr:col>4</xdr:col>
      <xdr:colOff>366183</xdr:colOff>
      <xdr:row>24</xdr:row>
      <xdr:rowOff>105842</xdr:rowOff>
    </xdr:to>
    <xdr:cxnSp macro="">
      <xdr:nvCxnSpPr>
        <xdr:cNvPr id="431" name="Straight Connector 164">
          <a:extLst>
            <a:ext uri="{FF2B5EF4-FFF2-40B4-BE49-F238E27FC236}">
              <a16:creationId xmlns:a16="http://schemas.microsoft.com/office/drawing/2014/main" id="{A44869C3-3C54-4690-B266-CDD91E946DEE}"/>
            </a:ext>
          </a:extLst>
        </xdr:cNvPr>
        <xdr:cNvCxnSpPr>
          <a:cxnSpLocks/>
          <a:stCxn id="272" idx="7"/>
          <a:endCxn id="268" idx="2"/>
        </xdr:cNvCxnSpPr>
      </xdr:nvCxnSpPr>
      <xdr:spPr bwMode="auto">
        <a:xfrm flipV="1">
          <a:off x="1033550" y="3422983"/>
          <a:ext cx="401550" cy="27060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169333</xdr:colOff>
      <xdr:row>8</xdr:row>
      <xdr:rowOff>0</xdr:rowOff>
    </xdr:from>
    <xdr:to>
      <xdr:col>3</xdr:col>
      <xdr:colOff>308468</xdr:colOff>
      <xdr:row>8</xdr:row>
      <xdr:rowOff>62525</xdr:rowOff>
    </xdr:to>
    <xdr:grpSp>
      <xdr:nvGrpSpPr>
        <xdr:cNvPr id="435" name="Grup 244">
          <a:extLst>
            <a:ext uri="{FF2B5EF4-FFF2-40B4-BE49-F238E27FC236}">
              <a16:creationId xmlns:a16="http://schemas.microsoft.com/office/drawing/2014/main" id="{2B26D2C2-4A2F-45BC-ABA0-E0761560574A}"/>
            </a:ext>
          </a:extLst>
        </xdr:cNvPr>
        <xdr:cNvGrpSpPr/>
      </xdr:nvGrpSpPr>
      <xdr:grpSpPr>
        <a:xfrm>
          <a:off x="857250" y="1206500"/>
          <a:ext cx="139135" cy="62525"/>
          <a:chOff x="13302191" y="2320613"/>
          <a:chExt cx="139135" cy="57233"/>
        </a:xfrm>
      </xdr:grpSpPr>
      <xdr:cxnSp macro="">
        <xdr:nvCxnSpPr>
          <xdr:cNvPr id="436" name="Straight Connector 81">
            <a:extLst>
              <a:ext uri="{FF2B5EF4-FFF2-40B4-BE49-F238E27FC236}">
                <a16:creationId xmlns:a16="http://schemas.microsoft.com/office/drawing/2014/main" id="{00EA580B-0F82-51A8-9AAA-D97A903FFC0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7" name="Straight Connector 82">
            <a:extLst>
              <a:ext uri="{FF2B5EF4-FFF2-40B4-BE49-F238E27FC236}">
                <a16:creationId xmlns:a16="http://schemas.microsoft.com/office/drawing/2014/main" id="{8BE9CA26-A1A1-4598-72C0-9E20A2A85123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8" name="Straight Connector 83">
            <a:extLst>
              <a:ext uri="{FF2B5EF4-FFF2-40B4-BE49-F238E27FC236}">
                <a16:creationId xmlns:a16="http://schemas.microsoft.com/office/drawing/2014/main" id="{B33C218C-7722-9E4F-AFDC-75454C77706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9" name="Straight Connector 84">
            <a:extLst>
              <a:ext uri="{FF2B5EF4-FFF2-40B4-BE49-F238E27FC236}">
                <a16:creationId xmlns:a16="http://schemas.microsoft.com/office/drawing/2014/main" id="{264A3AAB-B095-AAAE-BF5C-57F1A39C270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254000</xdr:colOff>
      <xdr:row>7</xdr:row>
      <xdr:rowOff>116417</xdr:rowOff>
    </xdr:from>
    <xdr:to>
      <xdr:col>5</xdr:col>
      <xdr:colOff>12135</xdr:colOff>
      <xdr:row>8</xdr:row>
      <xdr:rowOff>30775</xdr:rowOff>
    </xdr:to>
    <xdr:grpSp>
      <xdr:nvGrpSpPr>
        <xdr:cNvPr id="440" name="Grup 244">
          <a:extLst>
            <a:ext uri="{FF2B5EF4-FFF2-40B4-BE49-F238E27FC236}">
              <a16:creationId xmlns:a16="http://schemas.microsoft.com/office/drawing/2014/main" id="{86F312B8-169D-4571-B3BF-0247BAE5AEA9}"/>
            </a:ext>
          </a:extLst>
        </xdr:cNvPr>
        <xdr:cNvGrpSpPr/>
      </xdr:nvGrpSpPr>
      <xdr:grpSpPr>
        <a:xfrm>
          <a:off x="1322917" y="1174750"/>
          <a:ext cx="139135" cy="62525"/>
          <a:chOff x="13302191" y="2320613"/>
          <a:chExt cx="139135" cy="57233"/>
        </a:xfrm>
      </xdr:grpSpPr>
      <xdr:cxnSp macro="">
        <xdr:nvCxnSpPr>
          <xdr:cNvPr id="441" name="Straight Connector 81">
            <a:extLst>
              <a:ext uri="{FF2B5EF4-FFF2-40B4-BE49-F238E27FC236}">
                <a16:creationId xmlns:a16="http://schemas.microsoft.com/office/drawing/2014/main" id="{67048484-6DC4-E516-F2D6-B54A1CEB9CA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2" name="Straight Connector 82">
            <a:extLst>
              <a:ext uri="{FF2B5EF4-FFF2-40B4-BE49-F238E27FC236}">
                <a16:creationId xmlns:a16="http://schemas.microsoft.com/office/drawing/2014/main" id="{CE42A8F3-DB97-9FDB-E5F9-F828F8B0FB1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3" name="Straight Connector 83">
            <a:extLst>
              <a:ext uri="{FF2B5EF4-FFF2-40B4-BE49-F238E27FC236}">
                <a16:creationId xmlns:a16="http://schemas.microsoft.com/office/drawing/2014/main" id="{E6A5FF83-52B2-35F4-349D-860C2E61FE8E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4" name="Straight Connector 84">
            <a:extLst>
              <a:ext uri="{FF2B5EF4-FFF2-40B4-BE49-F238E27FC236}">
                <a16:creationId xmlns:a16="http://schemas.microsoft.com/office/drawing/2014/main" id="{081C2CE3-B7E1-AAB2-036B-35E1E346C5E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74084</xdr:colOff>
      <xdr:row>9</xdr:row>
      <xdr:rowOff>63500</xdr:rowOff>
    </xdr:from>
    <xdr:to>
      <xdr:col>5</xdr:col>
      <xdr:colOff>213219</xdr:colOff>
      <xdr:row>9</xdr:row>
      <xdr:rowOff>126025</xdr:rowOff>
    </xdr:to>
    <xdr:grpSp>
      <xdr:nvGrpSpPr>
        <xdr:cNvPr id="445" name="Grup 244">
          <a:extLst>
            <a:ext uri="{FF2B5EF4-FFF2-40B4-BE49-F238E27FC236}">
              <a16:creationId xmlns:a16="http://schemas.microsoft.com/office/drawing/2014/main" id="{C90734F8-0B4B-4988-8DDE-83293EECAD36}"/>
            </a:ext>
          </a:extLst>
        </xdr:cNvPr>
        <xdr:cNvGrpSpPr/>
      </xdr:nvGrpSpPr>
      <xdr:grpSpPr>
        <a:xfrm>
          <a:off x="1524001" y="1418167"/>
          <a:ext cx="139135" cy="62525"/>
          <a:chOff x="13302191" y="2320613"/>
          <a:chExt cx="139135" cy="57233"/>
        </a:xfrm>
      </xdr:grpSpPr>
      <xdr:cxnSp macro="">
        <xdr:nvCxnSpPr>
          <xdr:cNvPr id="446" name="Straight Connector 81">
            <a:extLst>
              <a:ext uri="{FF2B5EF4-FFF2-40B4-BE49-F238E27FC236}">
                <a16:creationId xmlns:a16="http://schemas.microsoft.com/office/drawing/2014/main" id="{10C23948-8C51-AD48-B914-0E3F3D51080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7" name="Straight Connector 82">
            <a:extLst>
              <a:ext uri="{FF2B5EF4-FFF2-40B4-BE49-F238E27FC236}">
                <a16:creationId xmlns:a16="http://schemas.microsoft.com/office/drawing/2014/main" id="{085F04DE-5460-546E-611B-9B2601DE851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8" name="Straight Connector 83">
            <a:extLst>
              <a:ext uri="{FF2B5EF4-FFF2-40B4-BE49-F238E27FC236}">
                <a16:creationId xmlns:a16="http://schemas.microsoft.com/office/drawing/2014/main" id="{F6276894-6E2E-042A-F986-440309180CC5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9" name="Straight Connector 84">
            <a:extLst>
              <a:ext uri="{FF2B5EF4-FFF2-40B4-BE49-F238E27FC236}">
                <a16:creationId xmlns:a16="http://schemas.microsoft.com/office/drawing/2014/main" id="{7D2574A9-5B99-A536-F79A-911C70D882DF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74083</xdr:colOff>
      <xdr:row>11</xdr:row>
      <xdr:rowOff>137583</xdr:rowOff>
    </xdr:from>
    <xdr:to>
      <xdr:col>5</xdr:col>
      <xdr:colOff>213218</xdr:colOff>
      <xdr:row>12</xdr:row>
      <xdr:rowOff>51941</xdr:rowOff>
    </xdr:to>
    <xdr:grpSp>
      <xdr:nvGrpSpPr>
        <xdr:cNvPr id="450" name="Grup 244">
          <a:extLst>
            <a:ext uri="{FF2B5EF4-FFF2-40B4-BE49-F238E27FC236}">
              <a16:creationId xmlns:a16="http://schemas.microsoft.com/office/drawing/2014/main" id="{A671808F-48AE-4396-B495-EA90B74599FD}"/>
            </a:ext>
          </a:extLst>
        </xdr:cNvPr>
        <xdr:cNvGrpSpPr/>
      </xdr:nvGrpSpPr>
      <xdr:grpSpPr>
        <a:xfrm>
          <a:off x="1524000" y="1788583"/>
          <a:ext cx="139135" cy="62525"/>
          <a:chOff x="13302191" y="2320613"/>
          <a:chExt cx="139135" cy="57233"/>
        </a:xfrm>
      </xdr:grpSpPr>
      <xdr:cxnSp macro="">
        <xdr:nvCxnSpPr>
          <xdr:cNvPr id="451" name="Straight Connector 81">
            <a:extLst>
              <a:ext uri="{FF2B5EF4-FFF2-40B4-BE49-F238E27FC236}">
                <a16:creationId xmlns:a16="http://schemas.microsoft.com/office/drawing/2014/main" id="{F4D4C4FC-2F04-6432-B8D4-949BACA331F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2" name="Straight Connector 82">
            <a:extLst>
              <a:ext uri="{FF2B5EF4-FFF2-40B4-BE49-F238E27FC236}">
                <a16:creationId xmlns:a16="http://schemas.microsoft.com/office/drawing/2014/main" id="{F625CB5A-049E-14EF-1B9F-300BF5FA5EA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3" name="Straight Connector 83">
            <a:extLst>
              <a:ext uri="{FF2B5EF4-FFF2-40B4-BE49-F238E27FC236}">
                <a16:creationId xmlns:a16="http://schemas.microsoft.com/office/drawing/2014/main" id="{CE760601-852F-AB03-6248-083D2797B40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4" name="Straight Connector 84">
            <a:extLst>
              <a:ext uri="{FF2B5EF4-FFF2-40B4-BE49-F238E27FC236}">
                <a16:creationId xmlns:a16="http://schemas.microsoft.com/office/drawing/2014/main" id="{0EC1FCD3-392E-D29B-4676-79B953C20E0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84667</xdr:colOff>
      <xdr:row>14</xdr:row>
      <xdr:rowOff>31750</xdr:rowOff>
    </xdr:from>
    <xdr:to>
      <xdr:col>5</xdr:col>
      <xdr:colOff>223802</xdr:colOff>
      <xdr:row>14</xdr:row>
      <xdr:rowOff>94275</xdr:rowOff>
    </xdr:to>
    <xdr:grpSp>
      <xdr:nvGrpSpPr>
        <xdr:cNvPr id="455" name="Grup 244">
          <a:extLst>
            <a:ext uri="{FF2B5EF4-FFF2-40B4-BE49-F238E27FC236}">
              <a16:creationId xmlns:a16="http://schemas.microsoft.com/office/drawing/2014/main" id="{154FCD21-01EB-4F0B-A02A-F0A6CEC455E2}"/>
            </a:ext>
          </a:extLst>
        </xdr:cNvPr>
        <xdr:cNvGrpSpPr/>
      </xdr:nvGrpSpPr>
      <xdr:grpSpPr>
        <a:xfrm>
          <a:off x="1534584" y="2137833"/>
          <a:ext cx="139135" cy="62525"/>
          <a:chOff x="13302191" y="2320613"/>
          <a:chExt cx="139135" cy="57233"/>
        </a:xfrm>
      </xdr:grpSpPr>
      <xdr:cxnSp macro="">
        <xdr:nvCxnSpPr>
          <xdr:cNvPr id="456" name="Straight Connector 81">
            <a:extLst>
              <a:ext uri="{FF2B5EF4-FFF2-40B4-BE49-F238E27FC236}">
                <a16:creationId xmlns:a16="http://schemas.microsoft.com/office/drawing/2014/main" id="{586171E5-18E1-FBB9-4647-91CE18FC478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7" name="Straight Connector 82">
            <a:extLst>
              <a:ext uri="{FF2B5EF4-FFF2-40B4-BE49-F238E27FC236}">
                <a16:creationId xmlns:a16="http://schemas.microsoft.com/office/drawing/2014/main" id="{C96028F1-C5F2-EBBA-B18C-B75A9B4607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8" name="Straight Connector 83">
            <a:extLst>
              <a:ext uri="{FF2B5EF4-FFF2-40B4-BE49-F238E27FC236}">
                <a16:creationId xmlns:a16="http://schemas.microsoft.com/office/drawing/2014/main" id="{A7092E26-1764-1048-159D-86D61BC9ADA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9" name="Straight Connector 84">
            <a:extLst>
              <a:ext uri="{FF2B5EF4-FFF2-40B4-BE49-F238E27FC236}">
                <a16:creationId xmlns:a16="http://schemas.microsoft.com/office/drawing/2014/main" id="{43109CC5-BB8A-B647-E92B-238C38A6782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74084</xdr:colOff>
      <xdr:row>17</xdr:row>
      <xdr:rowOff>52917</xdr:rowOff>
    </xdr:from>
    <xdr:to>
      <xdr:col>5</xdr:col>
      <xdr:colOff>213219</xdr:colOff>
      <xdr:row>17</xdr:row>
      <xdr:rowOff>115442</xdr:rowOff>
    </xdr:to>
    <xdr:grpSp>
      <xdr:nvGrpSpPr>
        <xdr:cNvPr id="460" name="Grup 244">
          <a:extLst>
            <a:ext uri="{FF2B5EF4-FFF2-40B4-BE49-F238E27FC236}">
              <a16:creationId xmlns:a16="http://schemas.microsoft.com/office/drawing/2014/main" id="{BD8FD320-B18B-4A0B-8E25-DE4973C77594}"/>
            </a:ext>
          </a:extLst>
        </xdr:cNvPr>
        <xdr:cNvGrpSpPr/>
      </xdr:nvGrpSpPr>
      <xdr:grpSpPr>
        <a:xfrm>
          <a:off x="1524001" y="2603500"/>
          <a:ext cx="139135" cy="62525"/>
          <a:chOff x="13302191" y="2320613"/>
          <a:chExt cx="139135" cy="57233"/>
        </a:xfrm>
      </xdr:grpSpPr>
      <xdr:cxnSp macro="">
        <xdr:nvCxnSpPr>
          <xdr:cNvPr id="461" name="Straight Connector 81">
            <a:extLst>
              <a:ext uri="{FF2B5EF4-FFF2-40B4-BE49-F238E27FC236}">
                <a16:creationId xmlns:a16="http://schemas.microsoft.com/office/drawing/2014/main" id="{2C237334-0BE9-A513-FCB4-D89FF933EB97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2" name="Straight Connector 82">
            <a:extLst>
              <a:ext uri="{FF2B5EF4-FFF2-40B4-BE49-F238E27FC236}">
                <a16:creationId xmlns:a16="http://schemas.microsoft.com/office/drawing/2014/main" id="{09F4785C-2A14-ECDF-9D7F-DF61883E1C0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3" name="Straight Connector 83">
            <a:extLst>
              <a:ext uri="{FF2B5EF4-FFF2-40B4-BE49-F238E27FC236}">
                <a16:creationId xmlns:a16="http://schemas.microsoft.com/office/drawing/2014/main" id="{0008D817-AF97-A13A-07EA-EBA4B6EA577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4" name="Straight Connector 84">
            <a:extLst>
              <a:ext uri="{FF2B5EF4-FFF2-40B4-BE49-F238E27FC236}">
                <a16:creationId xmlns:a16="http://schemas.microsoft.com/office/drawing/2014/main" id="{C8F438B2-FB5C-A2A7-283B-E6DABB7E566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31750</xdr:colOff>
      <xdr:row>23</xdr:row>
      <xdr:rowOff>126998</xdr:rowOff>
    </xdr:from>
    <xdr:to>
      <xdr:col>4</xdr:col>
      <xdr:colOff>170885</xdr:colOff>
      <xdr:row>24</xdr:row>
      <xdr:rowOff>41356</xdr:rowOff>
    </xdr:to>
    <xdr:grpSp>
      <xdr:nvGrpSpPr>
        <xdr:cNvPr id="465" name="Grup 244">
          <a:extLst>
            <a:ext uri="{FF2B5EF4-FFF2-40B4-BE49-F238E27FC236}">
              <a16:creationId xmlns:a16="http://schemas.microsoft.com/office/drawing/2014/main" id="{EB17C030-A657-4566-BF90-AA4F5A6F4C66}"/>
            </a:ext>
          </a:extLst>
        </xdr:cNvPr>
        <xdr:cNvGrpSpPr/>
      </xdr:nvGrpSpPr>
      <xdr:grpSpPr>
        <a:xfrm rot="18952786">
          <a:off x="1100667" y="3566581"/>
          <a:ext cx="139135" cy="62525"/>
          <a:chOff x="13302191" y="2320613"/>
          <a:chExt cx="139135" cy="57233"/>
        </a:xfrm>
      </xdr:grpSpPr>
      <xdr:cxnSp macro="">
        <xdr:nvCxnSpPr>
          <xdr:cNvPr id="466" name="Straight Connector 81">
            <a:extLst>
              <a:ext uri="{FF2B5EF4-FFF2-40B4-BE49-F238E27FC236}">
                <a16:creationId xmlns:a16="http://schemas.microsoft.com/office/drawing/2014/main" id="{C261FE79-29CA-D0EA-2FEF-EF3498B65C4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7" name="Straight Connector 82">
            <a:extLst>
              <a:ext uri="{FF2B5EF4-FFF2-40B4-BE49-F238E27FC236}">
                <a16:creationId xmlns:a16="http://schemas.microsoft.com/office/drawing/2014/main" id="{952B2293-C5ED-C2EC-8025-F24A584CB6C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8" name="Straight Connector 83">
            <a:extLst>
              <a:ext uri="{FF2B5EF4-FFF2-40B4-BE49-F238E27FC236}">
                <a16:creationId xmlns:a16="http://schemas.microsoft.com/office/drawing/2014/main" id="{D8F5560D-BBD2-F555-9A85-0EC610D7241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9" name="Straight Connector 84">
            <a:extLst>
              <a:ext uri="{FF2B5EF4-FFF2-40B4-BE49-F238E27FC236}">
                <a16:creationId xmlns:a16="http://schemas.microsoft.com/office/drawing/2014/main" id="{A26062AC-86D2-0166-858F-43D856F96E0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20</xdr:row>
      <xdr:rowOff>52916</xdr:rowOff>
    </xdr:from>
    <xdr:to>
      <xdr:col>5</xdr:col>
      <xdr:colOff>139135</xdr:colOff>
      <xdr:row>20</xdr:row>
      <xdr:rowOff>115441</xdr:rowOff>
    </xdr:to>
    <xdr:grpSp>
      <xdr:nvGrpSpPr>
        <xdr:cNvPr id="470" name="Grup 244">
          <a:extLst>
            <a:ext uri="{FF2B5EF4-FFF2-40B4-BE49-F238E27FC236}">
              <a16:creationId xmlns:a16="http://schemas.microsoft.com/office/drawing/2014/main" id="{C382A064-BC01-4916-A980-7EBD88AF55EA}"/>
            </a:ext>
          </a:extLst>
        </xdr:cNvPr>
        <xdr:cNvGrpSpPr/>
      </xdr:nvGrpSpPr>
      <xdr:grpSpPr>
        <a:xfrm>
          <a:off x="1449917" y="3047999"/>
          <a:ext cx="139135" cy="62525"/>
          <a:chOff x="13302191" y="2320613"/>
          <a:chExt cx="139135" cy="57233"/>
        </a:xfrm>
      </xdr:grpSpPr>
      <xdr:cxnSp macro="">
        <xdr:nvCxnSpPr>
          <xdr:cNvPr id="471" name="Straight Connector 81">
            <a:extLst>
              <a:ext uri="{FF2B5EF4-FFF2-40B4-BE49-F238E27FC236}">
                <a16:creationId xmlns:a16="http://schemas.microsoft.com/office/drawing/2014/main" id="{AF8BF0B6-909B-5AA2-24A7-E2DA0A70146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2" name="Straight Connector 82">
            <a:extLst>
              <a:ext uri="{FF2B5EF4-FFF2-40B4-BE49-F238E27FC236}">
                <a16:creationId xmlns:a16="http://schemas.microsoft.com/office/drawing/2014/main" id="{902FDFAF-0413-3635-1A9F-3304E18F4F0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3" name="Straight Connector 83">
            <a:extLst>
              <a:ext uri="{FF2B5EF4-FFF2-40B4-BE49-F238E27FC236}">
                <a16:creationId xmlns:a16="http://schemas.microsoft.com/office/drawing/2014/main" id="{CC81A298-ED45-E207-C171-2F832EB8608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4" name="Straight Connector 84">
            <a:extLst>
              <a:ext uri="{FF2B5EF4-FFF2-40B4-BE49-F238E27FC236}">
                <a16:creationId xmlns:a16="http://schemas.microsoft.com/office/drawing/2014/main" id="{00DB3497-7B80-D2B7-1A69-1BDBCD216C1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129735</xdr:colOff>
      <xdr:row>22</xdr:row>
      <xdr:rowOff>127001</xdr:rowOff>
    </xdr:from>
    <xdr:to>
      <xdr:col>19</xdr:col>
      <xdr:colOff>260732</xdr:colOff>
      <xdr:row>22</xdr:row>
      <xdr:rowOff>131566</xdr:rowOff>
    </xdr:to>
    <xdr:cxnSp macro="">
      <xdr:nvCxnSpPr>
        <xdr:cNvPr id="475" name="Straight Connector 474">
          <a:extLst>
            <a:ext uri="{FF2B5EF4-FFF2-40B4-BE49-F238E27FC236}">
              <a16:creationId xmlns:a16="http://schemas.microsoft.com/office/drawing/2014/main" id="{C050DF47-E266-44FC-8477-0D54F1435AFF}"/>
            </a:ext>
          </a:extLst>
        </xdr:cNvPr>
        <xdr:cNvCxnSpPr>
          <a:stCxn id="268" idx="6"/>
        </xdr:cNvCxnSpPr>
      </xdr:nvCxnSpPr>
      <xdr:spPr>
        <a:xfrm flipV="1">
          <a:off x="1579652" y="3418418"/>
          <a:ext cx="5464997" cy="45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366802</xdr:colOff>
      <xdr:row>23</xdr:row>
      <xdr:rowOff>21167</xdr:rowOff>
    </xdr:from>
    <xdr:to>
      <xdr:col>5</xdr:col>
      <xdr:colOff>31750</xdr:colOff>
      <xdr:row>25</xdr:row>
      <xdr:rowOff>8799</xdr:rowOff>
    </xdr:to>
    <xdr:cxnSp macro="">
      <xdr:nvCxnSpPr>
        <xdr:cNvPr id="478" name="Straight Connector 477">
          <a:extLst>
            <a:ext uri="{FF2B5EF4-FFF2-40B4-BE49-F238E27FC236}">
              <a16:creationId xmlns:a16="http://schemas.microsoft.com/office/drawing/2014/main" id="{0EE73317-6D83-49EA-9F5D-2A0977694246}"/>
            </a:ext>
          </a:extLst>
        </xdr:cNvPr>
        <xdr:cNvCxnSpPr>
          <a:stCxn id="272" idx="6"/>
        </xdr:cNvCxnSpPr>
      </xdr:nvCxnSpPr>
      <xdr:spPr>
        <a:xfrm flipV="1">
          <a:off x="1054719" y="3460750"/>
          <a:ext cx="426948" cy="28396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24</xdr:row>
      <xdr:rowOff>52917</xdr:rowOff>
    </xdr:from>
    <xdr:to>
      <xdr:col>3</xdr:col>
      <xdr:colOff>114586</xdr:colOff>
      <xdr:row>24</xdr:row>
      <xdr:rowOff>143399</xdr:rowOff>
    </xdr:to>
    <xdr:grpSp>
      <xdr:nvGrpSpPr>
        <xdr:cNvPr id="481" name="Group 134">
          <a:extLst>
            <a:ext uri="{FF2B5EF4-FFF2-40B4-BE49-F238E27FC236}">
              <a16:creationId xmlns:a16="http://schemas.microsoft.com/office/drawing/2014/main" id="{943AF226-79EA-4BF7-AEF5-234AF5F497FB}"/>
            </a:ext>
          </a:extLst>
        </xdr:cNvPr>
        <xdr:cNvGrpSpPr/>
      </xdr:nvGrpSpPr>
      <xdr:grpSpPr>
        <a:xfrm>
          <a:off x="571500" y="3640667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482" name="Isosceles Triangle 118">
            <a:extLst>
              <a:ext uri="{FF2B5EF4-FFF2-40B4-BE49-F238E27FC236}">
                <a16:creationId xmlns:a16="http://schemas.microsoft.com/office/drawing/2014/main" id="{95219F08-F72B-4067-0AD1-410CDDE565CC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83" name="Isosceles Triangle 119">
            <a:extLst>
              <a:ext uri="{FF2B5EF4-FFF2-40B4-BE49-F238E27FC236}">
                <a16:creationId xmlns:a16="http://schemas.microsoft.com/office/drawing/2014/main" id="{27E17C58-8A11-D6B2-0321-DCFDBD11CE6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84" name="Isosceles Triangle 120">
            <a:extLst>
              <a:ext uri="{FF2B5EF4-FFF2-40B4-BE49-F238E27FC236}">
                <a16:creationId xmlns:a16="http://schemas.microsoft.com/office/drawing/2014/main" id="{D78307D3-7F05-4C94-972B-484FD66D40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17</xdr:col>
      <xdr:colOff>127000</xdr:colOff>
      <xdr:row>16</xdr:row>
      <xdr:rowOff>42334</xdr:rowOff>
    </xdr:from>
    <xdr:to>
      <xdr:col>19</xdr:col>
      <xdr:colOff>169333</xdr:colOff>
      <xdr:row>21</xdr:row>
      <xdr:rowOff>95251</xdr:rowOff>
    </xdr:to>
    <xdr:sp macro="" textlink="">
      <xdr:nvSpPr>
        <xdr:cNvPr id="485" name="TextBox 157">
          <a:extLst>
            <a:ext uri="{FF2B5EF4-FFF2-40B4-BE49-F238E27FC236}">
              <a16:creationId xmlns:a16="http://schemas.microsoft.com/office/drawing/2014/main" id="{FCC67C0A-5E6D-4094-A03C-72F525658F11}"/>
            </a:ext>
          </a:extLst>
        </xdr:cNvPr>
        <xdr:cNvSpPr txBox="1"/>
      </xdr:nvSpPr>
      <xdr:spPr>
        <a:xfrm>
          <a:off x="6148917" y="2444751"/>
          <a:ext cx="804333" cy="7937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CA1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G105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42334</xdr:colOff>
      <xdr:row>23</xdr:row>
      <xdr:rowOff>127000</xdr:rowOff>
    </xdr:from>
    <xdr:to>
      <xdr:col>18</xdr:col>
      <xdr:colOff>84667</xdr:colOff>
      <xdr:row>28</xdr:row>
      <xdr:rowOff>52915</xdr:rowOff>
    </xdr:to>
    <xdr:sp macro="" textlink="">
      <xdr:nvSpPr>
        <xdr:cNvPr id="486" name="TextBox 157">
          <a:extLst>
            <a:ext uri="{FF2B5EF4-FFF2-40B4-BE49-F238E27FC236}">
              <a16:creationId xmlns:a16="http://schemas.microsoft.com/office/drawing/2014/main" id="{DCFE8D45-819C-4BAF-B3C5-CF3DB8E32EAE}"/>
            </a:ext>
          </a:extLst>
        </xdr:cNvPr>
        <xdr:cNvSpPr txBox="1"/>
      </xdr:nvSpPr>
      <xdr:spPr>
        <a:xfrm>
          <a:off x="5683251" y="3566583"/>
          <a:ext cx="804333" cy="66674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CA1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306917</xdr:colOff>
      <xdr:row>17</xdr:row>
      <xdr:rowOff>21167</xdr:rowOff>
    </xdr:from>
    <xdr:to>
      <xdr:col>16</xdr:col>
      <xdr:colOff>349250</xdr:colOff>
      <xdr:row>21</xdr:row>
      <xdr:rowOff>95250</xdr:rowOff>
    </xdr:to>
    <xdr:sp macro="" textlink="">
      <xdr:nvSpPr>
        <xdr:cNvPr id="487" name="TextBox 157">
          <a:extLst>
            <a:ext uri="{FF2B5EF4-FFF2-40B4-BE49-F238E27FC236}">
              <a16:creationId xmlns:a16="http://schemas.microsoft.com/office/drawing/2014/main" id="{1449707C-B155-41BD-8AEA-7786FC2391E2}"/>
            </a:ext>
          </a:extLst>
        </xdr:cNvPr>
        <xdr:cNvSpPr txBox="1"/>
      </xdr:nvSpPr>
      <xdr:spPr>
        <a:xfrm>
          <a:off x="5185834" y="2571750"/>
          <a:ext cx="804333" cy="6667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CA1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201083</xdr:colOff>
      <xdr:row>23</xdr:row>
      <xdr:rowOff>127000</xdr:rowOff>
    </xdr:from>
    <xdr:to>
      <xdr:col>15</xdr:col>
      <xdr:colOff>243416</xdr:colOff>
      <xdr:row>28</xdr:row>
      <xdr:rowOff>52916</xdr:rowOff>
    </xdr:to>
    <xdr:sp macro="" textlink="">
      <xdr:nvSpPr>
        <xdr:cNvPr id="488" name="TextBox 157">
          <a:extLst>
            <a:ext uri="{FF2B5EF4-FFF2-40B4-BE49-F238E27FC236}">
              <a16:creationId xmlns:a16="http://schemas.microsoft.com/office/drawing/2014/main" id="{8F6302E1-F8F1-4CBA-8A36-8C37CB83400B}"/>
            </a:ext>
          </a:extLst>
        </xdr:cNvPr>
        <xdr:cNvSpPr txBox="1"/>
      </xdr:nvSpPr>
      <xdr:spPr>
        <a:xfrm>
          <a:off x="4699000" y="3566583"/>
          <a:ext cx="804333" cy="6667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CA1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74083</xdr:colOff>
      <xdr:row>17</xdr:row>
      <xdr:rowOff>10584</xdr:rowOff>
    </xdr:from>
    <xdr:to>
      <xdr:col>14</xdr:col>
      <xdr:colOff>116416</xdr:colOff>
      <xdr:row>21</xdr:row>
      <xdr:rowOff>84667</xdr:rowOff>
    </xdr:to>
    <xdr:sp macro="" textlink="">
      <xdr:nvSpPr>
        <xdr:cNvPr id="489" name="TextBox 157">
          <a:extLst>
            <a:ext uri="{FF2B5EF4-FFF2-40B4-BE49-F238E27FC236}">
              <a16:creationId xmlns:a16="http://schemas.microsoft.com/office/drawing/2014/main" id="{51F5C16D-9830-4A0D-B5D7-52BD5FF51E19}"/>
            </a:ext>
          </a:extLst>
        </xdr:cNvPr>
        <xdr:cNvSpPr txBox="1"/>
      </xdr:nvSpPr>
      <xdr:spPr>
        <a:xfrm>
          <a:off x="4191000" y="2561167"/>
          <a:ext cx="804333" cy="6667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CA1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306917</xdr:colOff>
      <xdr:row>23</xdr:row>
      <xdr:rowOff>127000</xdr:rowOff>
    </xdr:from>
    <xdr:to>
      <xdr:col>12</xdr:col>
      <xdr:colOff>349250</xdr:colOff>
      <xdr:row>28</xdr:row>
      <xdr:rowOff>52916</xdr:rowOff>
    </xdr:to>
    <xdr:sp macro="" textlink="">
      <xdr:nvSpPr>
        <xdr:cNvPr id="490" name="TextBox 157">
          <a:extLst>
            <a:ext uri="{FF2B5EF4-FFF2-40B4-BE49-F238E27FC236}">
              <a16:creationId xmlns:a16="http://schemas.microsoft.com/office/drawing/2014/main" id="{92C23B52-B5BD-438D-BA19-2CC3EFAB57F5}"/>
            </a:ext>
          </a:extLst>
        </xdr:cNvPr>
        <xdr:cNvSpPr txBox="1"/>
      </xdr:nvSpPr>
      <xdr:spPr>
        <a:xfrm>
          <a:off x="3661834" y="3566583"/>
          <a:ext cx="804333" cy="6667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CA2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CC2-A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222250</xdr:colOff>
      <xdr:row>17</xdr:row>
      <xdr:rowOff>10584</xdr:rowOff>
    </xdr:from>
    <xdr:to>
      <xdr:col>11</xdr:col>
      <xdr:colOff>264583</xdr:colOff>
      <xdr:row>21</xdr:row>
      <xdr:rowOff>84667</xdr:rowOff>
    </xdr:to>
    <xdr:sp macro="" textlink="">
      <xdr:nvSpPr>
        <xdr:cNvPr id="491" name="TextBox 157">
          <a:extLst>
            <a:ext uri="{FF2B5EF4-FFF2-40B4-BE49-F238E27FC236}">
              <a16:creationId xmlns:a16="http://schemas.microsoft.com/office/drawing/2014/main" id="{A4AA9B74-C4DB-4A58-BB6A-5984556E483F}"/>
            </a:ext>
          </a:extLst>
        </xdr:cNvPr>
        <xdr:cNvSpPr txBox="1"/>
      </xdr:nvSpPr>
      <xdr:spPr>
        <a:xfrm>
          <a:off x="3196167" y="2561167"/>
          <a:ext cx="804333" cy="6667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CA1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52917</xdr:colOff>
      <xdr:row>24</xdr:row>
      <xdr:rowOff>127001</xdr:rowOff>
    </xdr:from>
    <xdr:to>
      <xdr:col>10</xdr:col>
      <xdr:colOff>95250</xdr:colOff>
      <xdr:row>30</xdr:row>
      <xdr:rowOff>31751</xdr:rowOff>
    </xdr:to>
    <xdr:sp macro="" textlink="">
      <xdr:nvSpPr>
        <xdr:cNvPr id="493" name="TextBox 157">
          <a:extLst>
            <a:ext uri="{FF2B5EF4-FFF2-40B4-BE49-F238E27FC236}">
              <a16:creationId xmlns:a16="http://schemas.microsoft.com/office/drawing/2014/main" id="{EB6ADD45-7DC3-4D45-AF77-93939D53FD09}"/>
            </a:ext>
          </a:extLst>
        </xdr:cNvPr>
        <xdr:cNvSpPr txBox="1"/>
      </xdr:nvSpPr>
      <xdr:spPr>
        <a:xfrm>
          <a:off x="2645834" y="3714751"/>
          <a:ext cx="804333" cy="7937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CA1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G105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CJ6-T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328083</xdr:colOff>
      <xdr:row>16</xdr:row>
      <xdr:rowOff>137583</xdr:rowOff>
    </xdr:from>
    <xdr:to>
      <xdr:col>8</xdr:col>
      <xdr:colOff>370416</xdr:colOff>
      <xdr:row>21</xdr:row>
      <xdr:rowOff>63500</xdr:rowOff>
    </xdr:to>
    <xdr:sp macro="" textlink="">
      <xdr:nvSpPr>
        <xdr:cNvPr id="494" name="TextBox 157">
          <a:extLst>
            <a:ext uri="{FF2B5EF4-FFF2-40B4-BE49-F238E27FC236}">
              <a16:creationId xmlns:a16="http://schemas.microsoft.com/office/drawing/2014/main" id="{8CB36A53-DB89-4645-A940-E0041A6D5A3C}"/>
            </a:ext>
          </a:extLst>
        </xdr:cNvPr>
        <xdr:cNvSpPr txBox="1"/>
      </xdr:nvSpPr>
      <xdr:spPr>
        <a:xfrm>
          <a:off x="2159000" y="2540000"/>
          <a:ext cx="804333" cy="6667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CA1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370417</xdr:colOff>
      <xdr:row>23</xdr:row>
      <xdr:rowOff>105832</xdr:rowOff>
    </xdr:from>
    <xdr:to>
      <xdr:col>8</xdr:col>
      <xdr:colOff>31750</xdr:colOff>
      <xdr:row>28</xdr:row>
      <xdr:rowOff>31748</xdr:rowOff>
    </xdr:to>
    <xdr:sp macro="" textlink="">
      <xdr:nvSpPr>
        <xdr:cNvPr id="495" name="TextBox 157">
          <a:extLst>
            <a:ext uri="{FF2B5EF4-FFF2-40B4-BE49-F238E27FC236}">
              <a16:creationId xmlns:a16="http://schemas.microsoft.com/office/drawing/2014/main" id="{29062E54-375B-4C29-8C26-B9BBFA09531A}"/>
            </a:ext>
          </a:extLst>
        </xdr:cNvPr>
        <xdr:cNvSpPr txBox="1"/>
      </xdr:nvSpPr>
      <xdr:spPr>
        <a:xfrm>
          <a:off x="1820334" y="3545415"/>
          <a:ext cx="804333" cy="6667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CA1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21169</xdr:colOff>
      <xdr:row>24</xdr:row>
      <xdr:rowOff>116417</xdr:rowOff>
    </xdr:from>
    <xdr:to>
      <xdr:col>6</xdr:col>
      <xdr:colOff>31751</xdr:colOff>
      <xdr:row>30</xdr:row>
      <xdr:rowOff>31750</xdr:rowOff>
    </xdr:to>
    <xdr:sp macro="" textlink="">
      <xdr:nvSpPr>
        <xdr:cNvPr id="496" name="TextBox 157">
          <a:extLst>
            <a:ext uri="{FF2B5EF4-FFF2-40B4-BE49-F238E27FC236}">
              <a16:creationId xmlns:a16="http://schemas.microsoft.com/office/drawing/2014/main" id="{73D230DC-AA98-46E4-91E5-1D148EC32CAA}"/>
            </a:ext>
          </a:extLst>
        </xdr:cNvPr>
        <xdr:cNvSpPr txBox="1"/>
      </xdr:nvSpPr>
      <xdr:spPr>
        <a:xfrm>
          <a:off x="1090086" y="3704167"/>
          <a:ext cx="772582" cy="80433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C11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CA6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</xdr:txBody>
    </xdr:sp>
    <xdr:clientData/>
  </xdr:twoCellAnchor>
  <xdr:twoCellAnchor>
    <xdr:from>
      <xdr:col>2</xdr:col>
      <xdr:colOff>42336</xdr:colOff>
      <xdr:row>26</xdr:row>
      <xdr:rowOff>84665</xdr:rowOff>
    </xdr:from>
    <xdr:to>
      <xdr:col>3</xdr:col>
      <xdr:colOff>306916</xdr:colOff>
      <xdr:row>38</xdr:row>
      <xdr:rowOff>10583</xdr:rowOff>
    </xdr:to>
    <xdr:sp macro="" textlink="">
      <xdr:nvSpPr>
        <xdr:cNvPr id="497" name="TextBox 157">
          <a:extLst>
            <a:ext uri="{FF2B5EF4-FFF2-40B4-BE49-F238E27FC236}">
              <a16:creationId xmlns:a16="http://schemas.microsoft.com/office/drawing/2014/main" id="{7BC8EDDB-7187-46F5-A12F-1F25A4B46D3B}"/>
            </a:ext>
          </a:extLst>
        </xdr:cNvPr>
        <xdr:cNvSpPr txBox="1"/>
      </xdr:nvSpPr>
      <xdr:spPr>
        <a:xfrm>
          <a:off x="232836" y="3968748"/>
          <a:ext cx="761997" cy="17250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CA3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G105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423333</xdr:colOff>
      <xdr:row>17</xdr:row>
      <xdr:rowOff>10584</xdr:rowOff>
    </xdr:from>
    <xdr:to>
      <xdr:col>4</xdr:col>
      <xdr:colOff>349249</xdr:colOff>
      <xdr:row>19</xdr:row>
      <xdr:rowOff>116416</xdr:rowOff>
    </xdr:to>
    <xdr:sp macro="" textlink="">
      <xdr:nvSpPr>
        <xdr:cNvPr id="498" name="TextBox 157">
          <a:extLst>
            <a:ext uri="{FF2B5EF4-FFF2-40B4-BE49-F238E27FC236}">
              <a16:creationId xmlns:a16="http://schemas.microsoft.com/office/drawing/2014/main" id="{87DF057D-4029-4B68-AE35-0F8B449F357A}"/>
            </a:ext>
          </a:extLst>
        </xdr:cNvPr>
        <xdr:cNvSpPr txBox="1"/>
      </xdr:nvSpPr>
      <xdr:spPr>
        <a:xfrm>
          <a:off x="613833" y="2561167"/>
          <a:ext cx="804333" cy="40216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5</xdr:col>
      <xdr:colOff>317500</xdr:colOff>
      <xdr:row>14</xdr:row>
      <xdr:rowOff>1</xdr:rowOff>
    </xdr:from>
    <xdr:to>
      <xdr:col>7</xdr:col>
      <xdr:colOff>359833</xdr:colOff>
      <xdr:row>16</xdr:row>
      <xdr:rowOff>105833</xdr:rowOff>
    </xdr:to>
    <xdr:sp macro="" textlink="">
      <xdr:nvSpPr>
        <xdr:cNvPr id="499" name="TextBox 157">
          <a:extLst>
            <a:ext uri="{FF2B5EF4-FFF2-40B4-BE49-F238E27FC236}">
              <a16:creationId xmlns:a16="http://schemas.microsoft.com/office/drawing/2014/main" id="{D5D5DA80-A660-47BF-A3CD-1A73AC3247A4}"/>
            </a:ext>
          </a:extLst>
        </xdr:cNvPr>
        <xdr:cNvSpPr txBox="1"/>
      </xdr:nvSpPr>
      <xdr:spPr>
        <a:xfrm>
          <a:off x="1767417" y="2106084"/>
          <a:ext cx="804333" cy="40216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5</xdr:col>
      <xdr:colOff>317500</xdr:colOff>
      <xdr:row>11</xdr:row>
      <xdr:rowOff>52917</xdr:rowOff>
    </xdr:from>
    <xdr:to>
      <xdr:col>7</xdr:col>
      <xdr:colOff>359833</xdr:colOff>
      <xdr:row>14</xdr:row>
      <xdr:rowOff>0</xdr:rowOff>
    </xdr:to>
    <xdr:sp macro="" textlink="">
      <xdr:nvSpPr>
        <xdr:cNvPr id="500" name="TextBox 157">
          <a:extLst>
            <a:ext uri="{FF2B5EF4-FFF2-40B4-BE49-F238E27FC236}">
              <a16:creationId xmlns:a16="http://schemas.microsoft.com/office/drawing/2014/main" id="{21D0FD6B-F21D-4A01-B895-E759AD15170F}"/>
            </a:ext>
          </a:extLst>
        </xdr:cNvPr>
        <xdr:cNvSpPr txBox="1"/>
      </xdr:nvSpPr>
      <xdr:spPr>
        <a:xfrm>
          <a:off x="1767417" y="1703917"/>
          <a:ext cx="804333" cy="40216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5</xdr:col>
      <xdr:colOff>317500</xdr:colOff>
      <xdr:row>8</xdr:row>
      <xdr:rowOff>84666</xdr:rowOff>
    </xdr:from>
    <xdr:to>
      <xdr:col>7</xdr:col>
      <xdr:colOff>359833</xdr:colOff>
      <xdr:row>11</xdr:row>
      <xdr:rowOff>42332</xdr:rowOff>
    </xdr:to>
    <xdr:sp macro="" textlink="">
      <xdr:nvSpPr>
        <xdr:cNvPr id="501" name="TextBox 157">
          <a:extLst>
            <a:ext uri="{FF2B5EF4-FFF2-40B4-BE49-F238E27FC236}">
              <a16:creationId xmlns:a16="http://schemas.microsoft.com/office/drawing/2014/main" id="{3599564B-BB99-408A-BE09-9139EE9B9F7F}"/>
            </a:ext>
          </a:extLst>
        </xdr:cNvPr>
        <xdr:cNvSpPr txBox="1"/>
      </xdr:nvSpPr>
      <xdr:spPr>
        <a:xfrm>
          <a:off x="1767417" y="1291166"/>
          <a:ext cx="804333" cy="40216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5</xdr:col>
      <xdr:colOff>317500</xdr:colOff>
      <xdr:row>5</xdr:row>
      <xdr:rowOff>127000</xdr:rowOff>
    </xdr:from>
    <xdr:to>
      <xdr:col>7</xdr:col>
      <xdr:colOff>359833</xdr:colOff>
      <xdr:row>8</xdr:row>
      <xdr:rowOff>84666</xdr:rowOff>
    </xdr:to>
    <xdr:sp macro="" textlink="">
      <xdr:nvSpPr>
        <xdr:cNvPr id="502" name="TextBox 157">
          <a:extLst>
            <a:ext uri="{FF2B5EF4-FFF2-40B4-BE49-F238E27FC236}">
              <a16:creationId xmlns:a16="http://schemas.microsoft.com/office/drawing/2014/main" id="{F3905FA4-01A8-42ED-A035-190BB1FAE061}"/>
            </a:ext>
          </a:extLst>
        </xdr:cNvPr>
        <xdr:cNvSpPr txBox="1"/>
      </xdr:nvSpPr>
      <xdr:spPr>
        <a:xfrm>
          <a:off x="1767417" y="889000"/>
          <a:ext cx="804333" cy="40216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</xdr:txBody>
    </xdr:sp>
    <xdr:clientData/>
  </xdr:twoCellAnchor>
  <xdr:twoCellAnchor>
    <xdr:from>
      <xdr:col>5</xdr:col>
      <xdr:colOff>224842</xdr:colOff>
      <xdr:row>6</xdr:row>
      <xdr:rowOff>103241</xdr:rowOff>
    </xdr:from>
    <xdr:to>
      <xdr:col>5</xdr:col>
      <xdr:colOff>303480</xdr:colOff>
      <xdr:row>7</xdr:row>
      <xdr:rowOff>38897</xdr:rowOff>
    </xdr:to>
    <xdr:grpSp>
      <xdr:nvGrpSpPr>
        <xdr:cNvPr id="503" name="Group 73">
          <a:extLst>
            <a:ext uri="{FF2B5EF4-FFF2-40B4-BE49-F238E27FC236}">
              <a16:creationId xmlns:a16="http://schemas.microsoft.com/office/drawing/2014/main" id="{4BD0A5A0-FC21-4DD3-A9F5-581F857F5204}"/>
            </a:ext>
          </a:extLst>
        </xdr:cNvPr>
        <xdr:cNvGrpSpPr/>
      </xdr:nvGrpSpPr>
      <xdr:grpSpPr>
        <a:xfrm rot="4630255">
          <a:off x="1672167" y="1016000"/>
          <a:ext cx="83822" cy="78638"/>
          <a:chOff x="12175074" y="2285812"/>
          <a:chExt cx="107252" cy="65186"/>
        </a:xfrm>
      </xdr:grpSpPr>
      <xdr:cxnSp macro="">
        <xdr:nvCxnSpPr>
          <xdr:cNvPr id="504" name="Straight Connector 74">
            <a:extLst>
              <a:ext uri="{FF2B5EF4-FFF2-40B4-BE49-F238E27FC236}">
                <a16:creationId xmlns:a16="http://schemas.microsoft.com/office/drawing/2014/main" id="{D8AE08DB-6015-5919-B9EB-5FD5C24C3536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5" name="Straight Connector 75">
            <a:extLst>
              <a:ext uri="{FF2B5EF4-FFF2-40B4-BE49-F238E27FC236}">
                <a16:creationId xmlns:a16="http://schemas.microsoft.com/office/drawing/2014/main" id="{DE2ADAFF-2B40-C65D-B91B-1BA7052AC58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6" name="Straight Connector 76">
            <a:extLst>
              <a:ext uri="{FF2B5EF4-FFF2-40B4-BE49-F238E27FC236}">
                <a16:creationId xmlns:a16="http://schemas.microsoft.com/office/drawing/2014/main" id="{672FBF3F-B970-309E-7F88-511E96492184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190501</xdr:colOff>
      <xdr:row>4</xdr:row>
      <xdr:rowOff>74083</xdr:rowOff>
    </xdr:from>
    <xdr:to>
      <xdr:col>5</xdr:col>
      <xdr:colOff>201083</xdr:colOff>
      <xdr:row>7</xdr:row>
      <xdr:rowOff>42334</xdr:rowOff>
    </xdr:to>
    <xdr:sp macro="" textlink="">
      <xdr:nvSpPr>
        <xdr:cNvPr id="507" name="TextBox 157">
          <a:extLst>
            <a:ext uri="{FF2B5EF4-FFF2-40B4-BE49-F238E27FC236}">
              <a16:creationId xmlns:a16="http://schemas.microsoft.com/office/drawing/2014/main" id="{918CE7B0-D68B-4434-A57D-4845B029A2D3}"/>
            </a:ext>
          </a:extLst>
        </xdr:cNvPr>
        <xdr:cNvSpPr txBox="1"/>
      </xdr:nvSpPr>
      <xdr:spPr>
        <a:xfrm>
          <a:off x="878418" y="687916"/>
          <a:ext cx="772582" cy="41275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2</xdr:col>
      <xdr:colOff>52917</xdr:colOff>
      <xdr:row>1</xdr:row>
      <xdr:rowOff>127000</xdr:rowOff>
    </xdr:from>
    <xdr:to>
      <xdr:col>3</xdr:col>
      <xdr:colOff>201083</xdr:colOff>
      <xdr:row>7</xdr:row>
      <xdr:rowOff>52917</xdr:rowOff>
    </xdr:to>
    <xdr:sp macro="" textlink="">
      <xdr:nvSpPr>
        <xdr:cNvPr id="508" name="TextBox 157">
          <a:extLst>
            <a:ext uri="{FF2B5EF4-FFF2-40B4-BE49-F238E27FC236}">
              <a16:creationId xmlns:a16="http://schemas.microsoft.com/office/drawing/2014/main" id="{6AEFE19F-AAAE-4CF4-A1D5-F474BE38A86B}"/>
            </a:ext>
          </a:extLst>
        </xdr:cNvPr>
        <xdr:cNvSpPr txBox="1"/>
      </xdr:nvSpPr>
      <xdr:spPr>
        <a:xfrm>
          <a:off x="243417" y="285750"/>
          <a:ext cx="645583" cy="8255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F1-2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0</xdr:colOff>
      <xdr:row>12</xdr:row>
      <xdr:rowOff>158749</xdr:rowOff>
    </xdr:from>
    <xdr:to>
      <xdr:col>5</xdr:col>
      <xdr:colOff>7196</xdr:colOff>
      <xdr:row>16</xdr:row>
      <xdr:rowOff>33020</xdr:rowOff>
    </xdr:to>
    <xdr:sp macro="" textlink="">
      <xdr:nvSpPr>
        <xdr:cNvPr id="509" name="TextBox 157">
          <a:extLst>
            <a:ext uri="{FF2B5EF4-FFF2-40B4-BE49-F238E27FC236}">
              <a16:creationId xmlns:a16="http://schemas.microsoft.com/office/drawing/2014/main" id="{6B1AC988-69A0-4C90-A362-9997AF68A0AA}"/>
            </a:ext>
          </a:extLst>
        </xdr:cNvPr>
        <xdr:cNvSpPr txBox="1"/>
      </xdr:nvSpPr>
      <xdr:spPr>
        <a:xfrm>
          <a:off x="190500" y="1957916"/>
          <a:ext cx="1266613" cy="47752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66KVA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3X70+70 = 50 M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158750</xdr:colOff>
      <xdr:row>17</xdr:row>
      <xdr:rowOff>116417</xdr:rowOff>
    </xdr:from>
    <xdr:to>
      <xdr:col>18</xdr:col>
      <xdr:colOff>355982</xdr:colOff>
      <xdr:row>17</xdr:row>
      <xdr:rowOff>116418</xdr:rowOff>
    </xdr:to>
    <xdr:cxnSp macro="">
      <xdr:nvCxnSpPr>
        <xdr:cNvPr id="510" name="Straight Connector 509">
          <a:extLst>
            <a:ext uri="{FF2B5EF4-FFF2-40B4-BE49-F238E27FC236}">
              <a16:creationId xmlns:a16="http://schemas.microsoft.com/office/drawing/2014/main" id="{0EF74E44-5316-4E86-8BA4-583743B32B41}"/>
            </a:ext>
          </a:extLst>
        </xdr:cNvPr>
        <xdr:cNvCxnSpPr/>
      </xdr:nvCxnSpPr>
      <xdr:spPr>
        <a:xfrm>
          <a:off x="6180667" y="2667000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74083</xdr:colOff>
      <xdr:row>25</xdr:row>
      <xdr:rowOff>63499</xdr:rowOff>
    </xdr:from>
    <xdr:to>
      <xdr:col>17</xdr:col>
      <xdr:colOff>271315</xdr:colOff>
      <xdr:row>25</xdr:row>
      <xdr:rowOff>63500</xdr:rowOff>
    </xdr:to>
    <xdr:cxnSp macro="">
      <xdr:nvCxnSpPr>
        <xdr:cNvPr id="511" name="Straight Connector 510">
          <a:extLst>
            <a:ext uri="{FF2B5EF4-FFF2-40B4-BE49-F238E27FC236}">
              <a16:creationId xmlns:a16="http://schemas.microsoft.com/office/drawing/2014/main" id="{96BADCDF-FEBF-4B7D-9BF8-9A8B35B1048A}"/>
            </a:ext>
          </a:extLst>
        </xdr:cNvPr>
        <xdr:cNvCxnSpPr/>
      </xdr:nvCxnSpPr>
      <xdr:spPr>
        <a:xfrm>
          <a:off x="5715000" y="3799416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328083</xdr:colOff>
      <xdr:row>18</xdr:row>
      <xdr:rowOff>105833</xdr:rowOff>
    </xdr:from>
    <xdr:to>
      <xdr:col>16</xdr:col>
      <xdr:colOff>144315</xdr:colOff>
      <xdr:row>18</xdr:row>
      <xdr:rowOff>105834</xdr:rowOff>
    </xdr:to>
    <xdr:cxnSp macro="">
      <xdr:nvCxnSpPr>
        <xdr:cNvPr id="512" name="Straight Connector 511">
          <a:extLst>
            <a:ext uri="{FF2B5EF4-FFF2-40B4-BE49-F238E27FC236}">
              <a16:creationId xmlns:a16="http://schemas.microsoft.com/office/drawing/2014/main" id="{FB0E2A22-4EC9-45AF-BB3E-F37A84266CA4}"/>
            </a:ext>
          </a:extLst>
        </xdr:cNvPr>
        <xdr:cNvCxnSpPr/>
      </xdr:nvCxnSpPr>
      <xdr:spPr>
        <a:xfrm>
          <a:off x="5207000" y="280458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201083</xdr:colOff>
      <xdr:row>25</xdr:row>
      <xdr:rowOff>52916</xdr:rowOff>
    </xdr:from>
    <xdr:to>
      <xdr:col>15</xdr:col>
      <xdr:colOff>17315</xdr:colOff>
      <xdr:row>25</xdr:row>
      <xdr:rowOff>52917</xdr:rowOff>
    </xdr:to>
    <xdr:cxnSp macro="">
      <xdr:nvCxnSpPr>
        <xdr:cNvPr id="513" name="Straight Connector 512">
          <a:extLst>
            <a:ext uri="{FF2B5EF4-FFF2-40B4-BE49-F238E27FC236}">
              <a16:creationId xmlns:a16="http://schemas.microsoft.com/office/drawing/2014/main" id="{3B5DBC0E-BCD5-47C5-A89F-EA66C2AF5BB5}"/>
            </a:ext>
          </a:extLst>
        </xdr:cNvPr>
        <xdr:cNvCxnSpPr/>
      </xdr:nvCxnSpPr>
      <xdr:spPr>
        <a:xfrm>
          <a:off x="4699000" y="378883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338666</xdr:colOff>
      <xdr:row>25</xdr:row>
      <xdr:rowOff>52917</xdr:rowOff>
    </xdr:from>
    <xdr:to>
      <xdr:col>12</xdr:col>
      <xdr:colOff>154898</xdr:colOff>
      <xdr:row>25</xdr:row>
      <xdr:rowOff>52918</xdr:rowOff>
    </xdr:to>
    <xdr:cxnSp macro="">
      <xdr:nvCxnSpPr>
        <xdr:cNvPr id="514" name="Straight Connector 513">
          <a:extLst>
            <a:ext uri="{FF2B5EF4-FFF2-40B4-BE49-F238E27FC236}">
              <a16:creationId xmlns:a16="http://schemas.microsoft.com/office/drawing/2014/main" id="{2B2625D0-CDC9-4460-8D9E-6BF8B460F593}"/>
            </a:ext>
          </a:extLst>
        </xdr:cNvPr>
        <xdr:cNvCxnSpPr/>
      </xdr:nvCxnSpPr>
      <xdr:spPr>
        <a:xfrm>
          <a:off x="3693583" y="3788834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211667</xdr:colOff>
      <xdr:row>18</xdr:row>
      <xdr:rowOff>95250</xdr:rowOff>
    </xdr:from>
    <xdr:to>
      <xdr:col>11</xdr:col>
      <xdr:colOff>27899</xdr:colOff>
      <xdr:row>18</xdr:row>
      <xdr:rowOff>95251</xdr:rowOff>
    </xdr:to>
    <xdr:cxnSp macro="">
      <xdr:nvCxnSpPr>
        <xdr:cNvPr id="515" name="Straight Connector 514">
          <a:extLst>
            <a:ext uri="{FF2B5EF4-FFF2-40B4-BE49-F238E27FC236}">
              <a16:creationId xmlns:a16="http://schemas.microsoft.com/office/drawing/2014/main" id="{5840AA2F-9CC7-4F81-80BA-98B2A4156726}"/>
            </a:ext>
          </a:extLst>
        </xdr:cNvPr>
        <xdr:cNvCxnSpPr/>
      </xdr:nvCxnSpPr>
      <xdr:spPr>
        <a:xfrm>
          <a:off x="3185584" y="2794000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84666</xdr:colOff>
      <xdr:row>26</xdr:row>
      <xdr:rowOff>42334</xdr:rowOff>
    </xdr:from>
    <xdr:to>
      <xdr:col>9</xdr:col>
      <xdr:colOff>281898</xdr:colOff>
      <xdr:row>26</xdr:row>
      <xdr:rowOff>42335</xdr:rowOff>
    </xdr:to>
    <xdr:cxnSp macro="">
      <xdr:nvCxnSpPr>
        <xdr:cNvPr id="516" name="Straight Connector 515">
          <a:extLst>
            <a:ext uri="{FF2B5EF4-FFF2-40B4-BE49-F238E27FC236}">
              <a16:creationId xmlns:a16="http://schemas.microsoft.com/office/drawing/2014/main" id="{0CE3482A-B0CE-42F4-80E6-51EE22D2F6F6}"/>
            </a:ext>
          </a:extLst>
        </xdr:cNvPr>
        <xdr:cNvCxnSpPr/>
      </xdr:nvCxnSpPr>
      <xdr:spPr>
        <a:xfrm>
          <a:off x="2677583" y="3926417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21166</xdr:colOff>
      <xdr:row>18</xdr:row>
      <xdr:rowOff>63500</xdr:rowOff>
    </xdr:from>
    <xdr:to>
      <xdr:col>8</xdr:col>
      <xdr:colOff>218398</xdr:colOff>
      <xdr:row>18</xdr:row>
      <xdr:rowOff>63501</xdr:rowOff>
    </xdr:to>
    <xdr:cxnSp macro="">
      <xdr:nvCxnSpPr>
        <xdr:cNvPr id="517" name="Straight Connector 516">
          <a:extLst>
            <a:ext uri="{FF2B5EF4-FFF2-40B4-BE49-F238E27FC236}">
              <a16:creationId xmlns:a16="http://schemas.microsoft.com/office/drawing/2014/main" id="{8808DB48-3FA9-4865-898B-B404452AB8CE}"/>
            </a:ext>
          </a:extLst>
        </xdr:cNvPr>
        <xdr:cNvCxnSpPr/>
      </xdr:nvCxnSpPr>
      <xdr:spPr>
        <a:xfrm>
          <a:off x="2233083" y="2762250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21166</xdr:colOff>
      <xdr:row>25</xdr:row>
      <xdr:rowOff>31750</xdr:rowOff>
    </xdr:from>
    <xdr:to>
      <xdr:col>7</xdr:col>
      <xdr:colOff>218398</xdr:colOff>
      <xdr:row>25</xdr:row>
      <xdr:rowOff>31751</xdr:rowOff>
    </xdr:to>
    <xdr:cxnSp macro="">
      <xdr:nvCxnSpPr>
        <xdr:cNvPr id="518" name="Straight Connector 517">
          <a:extLst>
            <a:ext uri="{FF2B5EF4-FFF2-40B4-BE49-F238E27FC236}">
              <a16:creationId xmlns:a16="http://schemas.microsoft.com/office/drawing/2014/main" id="{23113868-2DCB-4C08-9B5E-6AD40551267A}"/>
            </a:ext>
          </a:extLst>
        </xdr:cNvPr>
        <xdr:cNvCxnSpPr/>
      </xdr:nvCxnSpPr>
      <xdr:spPr>
        <a:xfrm>
          <a:off x="1852083" y="3767667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52917</xdr:colOff>
      <xdr:row>26</xdr:row>
      <xdr:rowOff>42334</xdr:rowOff>
    </xdr:from>
    <xdr:to>
      <xdr:col>5</xdr:col>
      <xdr:colOff>250149</xdr:colOff>
      <xdr:row>26</xdr:row>
      <xdr:rowOff>42335</xdr:rowOff>
    </xdr:to>
    <xdr:cxnSp macro="">
      <xdr:nvCxnSpPr>
        <xdr:cNvPr id="519" name="Straight Connector 518">
          <a:extLst>
            <a:ext uri="{FF2B5EF4-FFF2-40B4-BE49-F238E27FC236}">
              <a16:creationId xmlns:a16="http://schemas.microsoft.com/office/drawing/2014/main" id="{7AEA040A-5D1F-4018-8BE2-3E1C866C36ED}"/>
            </a:ext>
          </a:extLst>
        </xdr:cNvPr>
        <xdr:cNvCxnSpPr/>
      </xdr:nvCxnSpPr>
      <xdr:spPr>
        <a:xfrm>
          <a:off x="1121834" y="3926417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28</xdr:row>
      <xdr:rowOff>21166</xdr:rowOff>
    </xdr:from>
    <xdr:to>
      <xdr:col>3</xdr:col>
      <xdr:colOff>176065</xdr:colOff>
      <xdr:row>28</xdr:row>
      <xdr:rowOff>21167</xdr:rowOff>
    </xdr:to>
    <xdr:cxnSp macro="">
      <xdr:nvCxnSpPr>
        <xdr:cNvPr id="520" name="Straight Connector 519">
          <a:extLst>
            <a:ext uri="{FF2B5EF4-FFF2-40B4-BE49-F238E27FC236}">
              <a16:creationId xmlns:a16="http://schemas.microsoft.com/office/drawing/2014/main" id="{68023F77-BFAB-42E1-9D2C-3BAD3C068B57}"/>
            </a:ext>
          </a:extLst>
        </xdr:cNvPr>
        <xdr:cNvCxnSpPr/>
      </xdr:nvCxnSpPr>
      <xdr:spPr>
        <a:xfrm>
          <a:off x="285750" y="420158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275167</xdr:colOff>
      <xdr:row>23</xdr:row>
      <xdr:rowOff>0</xdr:rowOff>
    </xdr:from>
    <xdr:to>
      <xdr:col>19</xdr:col>
      <xdr:colOff>349250</xdr:colOff>
      <xdr:row>24</xdr:row>
      <xdr:rowOff>21166</xdr:rowOff>
    </xdr:to>
    <xdr:sp macro="" textlink="">
      <xdr:nvSpPr>
        <xdr:cNvPr id="521" name="TextBox 160">
          <a:extLst>
            <a:ext uri="{FF2B5EF4-FFF2-40B4-BE49-F238E27FC236}">
              <a16:creationId xmlns:a16="http://schemas.microsoft.com/office/drawing/2014/main" id="{D6436246-4796-4A9B-8189-F49B0CA533F3}"/>
            </a:ext>
          </a:extLst>
        </xdr:cNvPr>
        <xdr:cNvSpPr txBox="1"/>
      </xdr:nvSpPr>
      <xdr:spPr>
        <a:xfrm>
          <a:off x="6678084" y="3439583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17</xdr:col>
      <xdr:colOff>116417</xdr:colOff>
      <xdr:row>22</xdr:row>
      <xdr:rowOff>116417</xdr:rowOff>
    </xdr:from>
    <xdr:to>
      <xdr:col>18</xdr:col>
      <xdr:colOff>190500</xdr:colOff>
      <xdr:row>23</xdr:row>
      <xdr:rowOff>137584</xdr:rowOff>
    </xdr:to>
    <xdr:sp macro="" textlink="">
      <xdr:nvSpPr>
        <xdr:cNvPr id="522" name="TextBox 160">
          <a:extLst>
            <a:ext uri="{FF2B5EF4-FFF2-40B4-BE49-F238E27FC236}">
              <a16:creationId xmlns:a16="http://schemas.microsoft.com/office/drawing/2014/main" id="{BD7D8170-C9B8-42AB-B24F-FD9F07C3E544}"/>
            </a:ext>
          </a:extLst>
        </xdr:cNvPr>
        <xdr:cNvSpPr txBox="1"/>
      </xdr:nvSpPr>
      <xdr:spPr>
        <a:xfrm>
          <a:off x="6138334" y="3407834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14816</xdr:colOff>
      <xdr:row>22</xdr:row>
      <xdr:rowOff>120650</xdr:rowOff>
    </xdr:from>
    <xdr:to>
      <xdr:col>17</xdr:col>
      <xdr:colOff>88899</xdr:colOff>
      <xdr:row>23</xdr:row>
      <xdr:rowOff>141817</xdr:rowOff>
    </xdr:to>
    <xdr:sp macro="" textlink="">
      <xdr:nvSpPr>
        <xdr:cNvPr id="523" name="TextBox 160">
          <a:extLst>
            <a:ext uri="{FF2B5EF4-FFF2-40B4-BE49-F238E27FC236}">
              <a16:creationId xmlns:a16="http://schemas.microsoft.com/office/drawing/2014/main" id="{5FB2DE55-AF37-498B-B3B2-983B52B66AC9}"/>
            </a:ext>
          </a:extLst>
        </xdr:cNvPr>
        <xdr:cNvSpPr txBox="1"/>
      </xdr:nvSpPr>
      <xdr:spPr>
        <a:xfrm>
          <a:off x="5655733" y="3412067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14</xdr:col>
      <xdr:colOff>262467</xdr:colOff>
      <xdr:row>22</xdr:row>
      <xdr:rowOff>124883</xdr:rowOff>
    </xdr:from>
    <xdr:to>
      <xdr:col>15</xdr:col>
      <xdr:colOff>336550</xdr:colOff>
      <xdr:row>23</xdr:row>
      <xdr:rowOff>146050</xdr:rowOff>
    </xdr:to>
    <xdr:sp macro="" textlink="">
      <xdr:nvSpPr>
        <xdr:cNvPr id="524" name="TextBox 160">
          <a:extLst>
            <a:ext uri="{FF2B5EF4-FFF2-40B4-BE49-F238E27FC236}">
              <a16:creationId xmlns:a16="http://schemas.microsoft.com/office/drawing/2014/main" id="{186F0BD4-61D0-424B-A2FF-B82571C35599}"/>
            </a:ext>
          </a:extLst>
        </xdr:cNvPr>
        <xdr:cNvSpPr txBox="1"/>
      </xdr:nvSpPr>
      <xdr:spPr>
        <a:xfrm>
          <a:off x="5141384" y="3416300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139700</xdr:colOff>
      <xdr:row>22</xdr:row>
      <xdr:rowOff>129117</xdr:rowOff>
    </xdr:from>
    <xdr:to>
      <xdr:col>14</xdr:col>
      <xdr:colOff>213783</xdr:colOff>
      <xdr:row>24</xdr:row>
      <xdr:rowOff>2117</xdr:rowOff>
    </xdr:to>
    <xdr:sp macro="" textlink="">
      <xdr:nvSpPr>
        <xdr:cNvPr id="525" name="TextBox 160">
          <a:extLst>
            <a:ext uri="{FF2B5EF4-FFF2-40B4-BE49-F238E27FC236}">
              <a16:creationId xmlns:a16="http://schemas.microsoft.com/office/drawing/2014/main" id="{577C3915-C61D-4502-98CD-4CAEF531D0B0}"/>
            </a:ext>
          </a:extLst>
        </xdr:cNvPr>
        <xdr:cNvSpPr txBox="1"/>
      </xdr:nvSpPr>
      <xdr:spPr>
        <a:xfrm>
          <a:off x="4637617" y="3420534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6350</xdr:colOff>
      <xdr:row>22</xdr:row>
      <xdr:rowOff>133349</xdr:rowOff>
    </xdr:from>
    <xdr:to>
      <xdr:col>13</xdr:col>
      <xdr:colOff>80433</xdr:colOff>
      <xdr:row>24</xdr:row>
      <xdr:rowOff>6349</xdr:rowOff>
    </xdr:to>
    <xdr:sp macro="" textlink="">
      <xdr:nvSpPr>
        <xdr:cNvPr id="526" name="TextBox 160">
          <a:extLst>
            <a:ext uri="{FF2B5EF4-FFF2-40B4-BE49-F238E27FC236}">
              <a16:creationId xmlns:a16="http://schemas.microsoft.com/office/drawing/2014/main" id="{89F44AD8-0E96-43C2-BD0A-F958F6026511}"/>
            </a:ext>
          </a:extLst>
        </xdr:cNvPr>
        <xdr:cNvSpPr txBox="1"/>
      </xdr:nvSpPr>
      <xdr:spPr>
        <a:xfrm>
          <a:off x="4123267" y="3424766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211667</xdr:colOff>
      <xdr:row>22</xdr:row>
      <xdr:rowOff>127000</xdr:rowOff>
    </xdr:from>
    <xdr:to>
      <xdr:col>11</xdr:col>
      <xdr:colOff>285750</xdr:colOff>
      <xdr:row>24</xdr:row>
      <xdr:rowOff>0</xdr:rowOff>
    </xdr:to>
    <xdr:sp macro="" textlink="">
      <xdr:nvSpPr>
        <xdr:cNvPr id="527" name="TextBox 160">
          <a:extLst>
            <a:ext uri="{FF2B5EF4-FFF2-40B4-BE49-F238E27FC236}">
              <a16:creationId xmlns:a16="http://schemas.microsoft.com/office/drawing/2014/main" id="{90EEB5AB-25A4-4F52-B43C-6B391CC773A1}"/>
            </a:ext>
          </a:extLst>
        </xdr:cNvPr>
        <xdr:cNvSpPr txBox="1"/>
      </xdr:nvSpPr>
      <xdr:spPr>
        <a:xfrm>
          <a:off x="3566584" y="3418417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88900</xdr:colOff>
      <xdr:row>23</xdr:row>
      <xdr:rowOff>14817</xdr:rowOff>
    </xdr:from>
    <xdr:to>
      <xdr:col>10</xdr:col>
      <xdr:colOff>162983</xdr:colOff>
      <xdr:row>24</xdr:row>
      <xdr:rowOff>35983</xdr:rowOff>
    </xdr:to>
    <xdr:sp macro="" textlink="">
      <xdr:nvSpPr>
        <xdr:cNvPr id="528" name="TextBox 160">
          <a:extLst>
            <a:ext uri="{FF2B5EF4-FFF2-40B4-BE49-F238E27FC236}">
              <a16:creationId xmlns:a16="http://schemas.microsoft.com/office/drawing/2014/main" id="{BA954B73-3AA1-4D7C-A298-311DCC76F821}"/>
            </a:ext>
          </a:extLst>
        </xdr:cNvPr>
        <xdr:cNvSpPr txBox="1"/>
      </xdr:nvSpPr>
      <xdr:spPr>
        <a:xfrm>
          <a:off x="3062817" y="3454400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8467</xdr:colOff>
      <xdr:row>23</xdr:row>
      <xdr:rowOff>40217</xdr:rowOff>
    </xdr:from>
    <xdr:to>
      <xdr:col>9</xdr:col>
      <xdr:colOff>82550</xdr:colOff>
      <xdr:row>24</xdr:row>
      <xdr:rowOff>61383</xdr:rowOff>
    </xdr:to>
    <xdr:sp macro="" textlink="">
      <xdr:nvSpPr>
        <xdr:cNvPr id="529" name="TextBox 160">
          <a:extLst>
            <a:ext uri="{FF2B5EF4-FFF2-40B4-BE49-F238E27FC236}">
              <a16:creationId xmlns:a16="http://schemas.microsoft.com/office/drawing/2014/main" id="{80C850B4-72E3-488B-863C-53FF486C1E97}"/>
            </a:ext>
          </a:extLst>
        </xdr:cNvPr>
        <xdr:cNvSpPr txBox="1"/>
      </xdr:nvSpPr>
      <xdr:spPr>
        <a:xfrm>
          <a:off x="2601384" y="3479800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245533</xdr:colOff>
      <xdr:row>22</xdr:row>
      <xdr:rowOff>65617</xdr:rowOff>
    </xdr:from>
    <xdr:to>
      <xdr:col>7</xdr:col>
      <xdr:colOff>319616</xdr:colOff>
      <xdr:row>23</xdr:row>
      <xdr:rowOff>86784</xdr:rowOff>
    </xdr:to>
    <xdr:sp macro="" textlink="">
      <xdr:nvSpPr>
        <xdr:cNvPr id="530" name="TextBox 160">
          <a:extLst>
            <a:ext uri="{FF2B5EF4-FFF2-40B4-BE49-F238E27FC236}">
              <a16:creationId xmlns:a16="http://schemas.microsoft.com/office/drawing/2014/main" id="{33395EBB-FC0F-4799-ACFA-18EEFDE98ECB}"/>
            </a:ext>
          </a:extLst>
        </xdr:cNvPr>
        <xdr:cNvSpPr txBox="1"/>
      </xdr:nvSpPr>
      <xdr:spPr>
        <a:xfrm>
          <a:off x="2076450" y="3357034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</xdr:col>
      <xdr:colOff>101600</xdr:colOff>
      <xdr:row>22</xdr:row>
      <xdr:rowOff>59266</xdr:rowOff>
    </xdr:from>
    <xdr:to>
      <xdr:col>6</xdr:col>
      <xdr:colOff>175683</xdr:colOff>
      <xdr:row>23</xdr:row>
      <xdr:rowOff>80433</xdr:rowOff>
    </xdr:to>
    <xdr:sp macro="" textlink="">
      <xdr:nvSpPr>
        <xdr:cNvPr id="531" name="TextBox 160">
          <a:extLst>
            <a:ext uri="{FF2B5EF4-FFF2-40B4-BE49-F238E27FC236}">
              <a16:creationId xmlns:a16="http://schemas.microsoft.com/office/drawing/2014/main" id="{F3DB99DF-5839-44A9-B791-F625D449C894}"/>
            </a:ext>
          </a:extLst>
        </xdr:cNvPr>
        <xdr:cNvSpPr txBox="1"/>
      </xdr:nvSpPr>
      <xdr:spPr>
        <a:xfrm>
          <a:off x="1551517" y="3350683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</xdr:col>
      <xdr:colOff>169333</xdr:colOff>
      <xdr:row>23</xdr:row>
      <xdr:rowOff>95251</xdr:rowOff>
    </xdr:from>
    <xdr:to>
      <xdr:col>5</xdr:col>
      <xdr:colOff>243416</xdr:colOff>
      <xdr:row>24</xdr:row>
      <xdr:rowOff>116417</xdr:rowOff>
    </xdr:to>
    <xdr:sp macro="" textlink="">
      <xdr:nvSpPr>
        <xdr:cNvPr id="532" name="TextBox 160">
          <a:extLst>
            <a:ext uri="{FF2B5EF4-FFF2-40B4-BE49-F238E27FC236}">
              <a16:creationId xmlns:a16="http://schemas.microsoft.com/office/drawing/2014/main" id="{4D1223BE-64AD-4B08-90DF-B8F44AF6645E}"/>
            </a:ext>
          </a:extLst>
        </xdr:cNvPr>
        <xdr:cNvSpPr txBox="1"/>
      </xdr:nvSpPr>
      <xdr:spPr>
        <a:xfrm>
          <a:off x="1238250" y="3534834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</xdr:col>
      <xdr:colOff>254000</xdr:colOff>
      <xdr:row>22</xdr:row>
      <xdr:rowOff>31749</xdr:rowOff>
    </xdr:from>
    <xdr:to>
      <xdr:col>4</xdr:col>
      <xdr:colOff>328083</xdr:colOff>
      <xdr:row>23</xdr:row>
      <xdr:rowOff>52916</xdr:rowOff>
    </xdr:to>
    <xdr:sp macro="" textlink="">
      <xdr:nvSpPr>
        <xdr:cNvPr id="533" name="TextBox 160">
          <a:extLst>
            <a:ext uri="{FF2B5EF4-FFF2-40B4-BE49-F238E27FC236}">
              <a16:creationId xmlns:a16="http://schemas.microsoft.com/office/drawing/2014/main" id="{7030180B-794C-4B2A-9808-A297EF5DA634}"/>
            </a:ext>
          </a:extLst>
        </xdr:cNvPr>
        <xdr:cNvSpPr txBox="1"/>
      </xdr:nvSpPr>
      <xdr:spPr>
        <a:xfrm>
          <a:off x="941917" y="3323166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</xdr:col>
      <xdr:colOff>42334</xdr:colOff>
      <xdr:row>20</xdr:row>
      <xdr:rowOff>74084</xdr:rowOff>
    </xdr:from>
    <xdr:to>
      <xdr:col>5</xdr:col>
      <xdr:colOff>116417</xdr:colOff>
      <xdr:row>21</xdr:row>
      <xdr:rowOff>95250</xdr:rowOff>
    </xdr:to>
    <xdr:sp macro="" textlink="">
      <xdr:nvSpPr>
        <xdr:cNvPr id="534" name="TextBox 160">
          <a:extLst>
            <a:ext uri="{FF2B5EF4-FFF2-40B4-BE49-F238E27FC236}">
              <a16:creationId xmlns:a16="http://schemas.microsoft.com/office/drawing/2014/main" id="{1BD4131C-DAA0-44DF-AB7A-2A9725B007A2}"/>
            </a:ext>
          </a:extLst>
        </xdr:cNvPr>
        <xdr:cNvSpPr txBox="1"/>
      </xdr:nvSpPr>
      <xdr:spPr>
        <a:xfrm>
          <a:off x="1111251" y="3069167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</xdr:col>
      <xdr:colOff>116417</xdr:colOff>
      <xdr:row>15</xdr:row>
      <xdr:rowOff>127000</xdr:rowOff>
    </xdr:from>
    <xdr:to>
      <xdr:col>5</xdr:col>
      <xdr:colOff>190500</xdr:colOff>
      <xdr:row>17</xdr:row>
      <xdr:rowOff>0</xdr:rowOff>
    </xdr:to>
    <xdr:sp macro="" textlink="">
      <xdr:nvSpPr>
        <xdr:cNvPr id="535" name="TextBox 160">
          <a:extLst>
            <a:ext uri="{FF2B5EF4-FFF2-40B4-BE49-F238E27FC236}">
              <a16:creationId xmlns:a16="http://schemas.microsoft.com/office/drawing/2014/main" id="{1627C157-4D98-481A-8CB2-428F3249576E}"/>
            </a:ext>
          </a:extLst>
        </xdr:cNvPr>
        <xdr:cNvSpPr txBox="1"/>
      </xdr:nvSpPr>
      <xdr:spPr>
        <a:xfrm>
          <a:off x="1185334" y="2381250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</xdr:col>
      <xdr:colOff>127000</xdr:colOff>
      <xdr:row>13</xdr:row>
      <xdr:rowOff>31750</xdr:rowOff>
    </xdr:from>
    <xdr:to>
      <xdr:col>5</xdr:col>
      <xdr:colOff>201083</xdr:colOff>
      <xdr:row>14</xdr:row>
      <xdr:rowOff>52917</xdr:rowOff>
    </xdr:to>
    <xdr:sp macro="" textlink="">
      <xdr:nvSpPr>
        <xdr:cNvPr id="536" name="TextBox 160">
          <a:extLst>
            <a:ext uri="{FF2B5EF4-FFF2-40B4-BE49-F238E27FC236}">
              <a16:creationId xmlns:a16="http://schemas.microsoft.com/office/drawing/2014/main" id="{16AFB9D8-8685-4063-8A8F-6EEA41676231}"/>
            </a:ext>
          </a:extLst>
        </xdr:cNvPr>
        <xdr:cNvSpPr txBox="1"/>
      </xdr:nvSpPr>
      <xdr:spPr>
        <a:xfrm>
          <a:off x="1195917" y="1989667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</xdr:col>
      <xdr:colOff>137583</xdr:colOff>
      <xdr:row>11</xdr:row>
      <xdr:rowOff>31750</xdr:rowOff>
    </xdr:from>
    <xdr:to>
      <xdr:col>5</xdr:col>
      <xdr:colOff>211666</xdr:colOff>
      <xdr:row>12</xdr:row>
      <xdr:rowOff>52916</xdr:rowOff>
    </xdr:to>
    <xdr:sp macro="" textlink="">
      <xdr:nvSpPr>
        <xdr:cNvPr id="537" name="TextBox 160">
          <a:extLst>
            <a:ext uri="{FF2B5EF4-FFF2-40B4-BE49-F238E27FC236}">
              <a16:creationId xmlns:a16="http://schemas.microsoft.com/office/drawing/2014/main" id="{3D922384-5104-482A-AE72-3A3ED3214B49}"/>
            </a:ext>
          </a:extLst>
        </xdr:cNvPr>
        <xdr:cNvSpPr txBox="1"/>
      </xdr:nvSpPr>
      <xdr:spPr>
        <a:xfrm>
          <a:off x="1206500" y="1682750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</xdr:col>
      <xdr:colOff>84667</xdr:colOff>
      <xdr:row>9</xdr:row>
      <xdr:rowOff>42333</xdr:rowOff>
    </xdr:from>
    <xdr:to>
      <xdr:col>5</xdr:col>
      <xdr:colOff>158750</xdr:colOff>
      <xdr:row>10</xdr:row>
      <xdr:rowOff>63500</xdr:rowOff>
    </xdr:to>
    <xdr:sp macro="" textlink="">
      <xdr:nvSpPr>
        <xdr:cNvPr id="538" name="TextBox 160">
          <a:extLst>
            <a:ext uri="{FF2B5EF4-FFF2-40B4-BE49-F238E27FC236}">
              <a16:creationId xmlns:a16="http://schemas.microsoft.com/office/drawing/2014/main" id="{A3CE86DA-0AD6-44EA-A631-74965E6A91E0}"/>
            </a:ext>
          </a:extLst>
        </xdr:cNvPr>
        <xdr:cNvSpPr txBox="1"/>
      </xdr:nvSpPr>
      <xdr:spPr>
        <a:xfrm>
          <a:off x="1153584" y="1397000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</xdr:col>
      <xdr:colOff>116416</xdr:colOff>
      <xdr:row>8</xdr:row>
      <xdr:rowOff>10583</xdr:rowOff>
    </xdr:from>
    <xdr:to>
      <xdr:col>5</xdr:col>
      <xdr:colOff>190499</xdr:colOff>
      <xdr:row>9</xdr:row>
      <xdr:rowOff>31749</xdr:rowOff>
    </xdr:to>
    <xdr:sp macro="" textlink="">
      <xdr:nvSpPr>
        <xdr:cNvPr id="539" name="TextBox 160">
          <a:extLst>
            <a:ext uri="{FF2B5EF4-FFF2-40B4-BE49-F238E27FC236}">
              <a16:creationId xmlns:a16="http://schemas.microsoft.com/office/drawing/2014/main" id="{3A359E20-B484-487F-843D-CC3021907A9E}"/>
            </a:ext>
          </a:extLst>
        </xdr:cNvPr>
        <xdr:cNvSpPr txBox="1"/>
      </xdr:nvSpPr>
      <xdr:spPr>
        <a:xfrm>
          <a:off x="1185333" y="1217083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</xdr:col>
      <xdr:colOff>10583</xdr:colOff>
      <xdr:row>8</xdr:row>
      <xdr:rowOff>52916</xdr:rowOff>
    </xdr:from>
    <xdr:to>
      <xdr:col>4</xdr:col>
      <xdr:colOff>84666</xdr:colOff>
      <xdr:row>9</xdr:row>
      <xdr:rowOff>74082</xdr:rowOff>
    </xdr:to>
    <xdr:sp macro="" textlink="">
      <xdr:nvSpPr>
        <xdr:cNvPr id="540" name="TextBox 160">
          <a:extLst>
            <a:ext uri="{FF2B5EF4-FFF2-40B4-BE49-F238E27FC236}">
              <a16:creationId xmlns:a16="http://schemas.microsoft.com/office/drawing/2014/main" id="{B72BA3D1-CAAF-4DC6-B735-2BF7FDFCC7D3}"/>
            </a:ext>
          </a:extLst>
        </xdr:cNvPr>
        <xdr:cNvSpPr txBox="1"/>
      </xdr:nvSpPr>
      <xdr:spPr>
        <a:xfrm>
          <a:off x="698500" y="1259416"/>
          <a:ext cx="455083" cy="169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127000</xdr:colOff>
      <xdr:row>18</xdr:row>
      <xdr:rowOff>95250</xdr:rowOff>
    </xdr:from>
    <xdr:to>
      <xdr:col>13</xdr:col>
      <xdr:colOff>324232</xdr:colOff>
      <xdr:row>18</xdr:row>
      <xdr:rowOff>95251</xdr:rowOff>
    </xdr:to>
    <xdr:cxnSp macro="">
      <xdr:nvCxnSpPr>
        <xdr:cNvPr id="541" name="Straight Connector 540">
          <a:extLst>
            <a:ext uri="{FF2B5EF4-FFF2-40B4-BE49-F238E27FC236}">
              <a16:creationId xmlns:a16="http://schemas.microsoft.com/office/drawing/2014/main" id="{BD018FC3-4D19-4639-9EFD-5FBD38F580B9}"/>
            </a:ext>
          </a:extLst>
        </xdr:cNvPr>
        <xdr:cNvCxnSpPr/>
      </xdr:nvCxnSpPr>
      <xdr:spPr>
        <a:xfrm>
          <a:off x="4243917" y="2794000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26</xdr:col>
      <xdr:colOff>60798</xdr:colOff>
      <xdr:row>52</xdr:row>
      <xdr:rowOff>20266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41C07E-5FE4-96DC-6268-43147721B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972766"/>
          <a:ext cx="14003777" cy="74781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7</xdr:row>
      <xdr:rowOff>0</xdr:rowOff>
    </xdr:from>
    <xdr:to>
      <xdr:col>29</xdr:col>
      <xdr:colOff>22151</xdr:colOff>
      <xdr:row>56</xdr:row>
      <xdr:rowOff>22151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E08DBF-4CAA-250E-FFF3-F85D59B09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063256"/>
          <a:ext cx="14907732" cy="762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3" t="s">
        <v>1133</v>
      </c>
      <c r="C4" s="523"/>
      <c r="D4" s="523"/>
      <c r="E4" s="523"/>
      <c r="F4" s="523"/>
      <c r="G4" s="523"/>
      <c r="H4" s="52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4" t="s">
        <v>0</v>
      </c>
      <c r="C7" s="524" t="s">
        <v>1</v>
      </c>
      <c r="D7" s="525" t="s">
        <v>42</v>
      </c>
      <c r="E7" s="525" t="s">
        <v>43</v>
      </c>
      <c r="F7" s="525" t="s">
        <v>1134</v>
      </c>
      <c r="G7" s="526" t="s">
        <v>41</v>
      </c>
      <c r="H7" s="522" t="s">
        <v>1042</v>
      </c>
      <c r="I7" s="522" t="s">
        <v>1136</v>
      </c>
      <c r="J7" s="522" t="s">
        <v>1026</v>
      </c>
      <c r="K7" s="516" t="s">
        <v>1024</v>
      </c>
      <c r="L7" s="517"/>
    </row>
    <row r="8" spans="1:12" ht="15" customHeight="1">
      <c r="B8" s="524"/>
      <c r="C8" s="524"/>
      <c r="D8" s="525"/>
      <c r="E8" s="525"/>
      <c r="F8" s="525"/>
      <c r="G8" s="526"/>
      <c r="H8" s="522"/>
      <c r="I8" s="522"/>
      <c r="J8" s="522"/>
      <c r="K8" s="518"/>
      <c r="L8" s="519"/>
    </row>
    <row r="9" spans="1:12" ht="15" customHeight="1">
      <c r="B9" s="524"/>
      <c r="C9" s="524"/>
      <c r="D9" s="525"/>
      <c r="E9" s="525"/>
      <c r="F9" s="525"/>
      <c r="G9" s="526"/>
      <c r="H9" s="522"/>
      <c r="I9" s="522"/>
      <c r="J9" s="522"/>
      <c r="K9" s="520"/>
      <c r="L9" s="52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66 kVA MCCB 100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38">
        <f t="shared" ca="1" si="2"/>
        <v>24</v>
      </c>
      <c r="G17" s="41">
        <f ca="1">IF(ISERROR(OFFSET('HARGA SATUAN'!$I$6,MATCH(C17,'HARGA SATUAN'!$C$7:$C$1495,0),0)),"",OFFSET('HARGA SATUAN'!$I$6,MATCH(C17,'HARGA SATUAN'!$C$7:$C$1495,0),0))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Tumpu ( Line Post ) 20 KV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38">
        <f t="shared" ca="1" si="2"/>
        <v>12</v>
      </c>
      <c r="G18" s="41">
        <f ca="1">IF(ISERROR(OFFSET('HARGA SATUAN'!$I$6,MATCH(C18,'HARGA SATUAN'!$C$7:$C$1495,0),0)),"",OFFSET('HARGA SATUAN'!$I$6,MATCH(C18,'HARGA SATUAN'!$C$7:$C$1495,0),0))</f>
        <v>176900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Isolator Tarik ( Porcelain ) 20 KV + Primary Dead End Clamp 70-150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Set</v>
      </c>
      <c r="F19" s="138">
        <f t="shared" ca="1" si="2"/>
        <v>1</v>
      </c>
      <c r="G19" s="41">
        <f ca="1">IF(ISERROR(OFFSET('HARGA SATUAN'!$I$6,MATCH(C19,'HARGA SATUAN'!$C$7:$C$1495,0),0)),"",OFFSET('HARGA SATUAN'!$I$6,MATCH(C19,'HARGA SATUAN'!$C$7:$C$1495,0),0))</f>
        <v>205700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AAAC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38">
        <f t="shared" ca="1" si="2"/>
        <v>2889</v>
      </c>
      <c r="G20" s="41">
        <f ca="1">IF(ISERROR(OFFSET('HARGA SATUAN'!$I$6,MATCH(C20,'HARGA SATUAN'!$C$7:$C$1495,0),0)),"",OFFSET('HARGA SATUAN'!$I$6,MATCH(C20,'HARGA SATUAN'!$C$7:$C$1495,0),0))</f>
        <v>14200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NFA2X-T 3x70+1x70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38">
        <f t="shared" ca="1" si="2"/>
        <v>580</v>
      </c>
      <c r="G21" s="41">
        <f ca="1">IF(ISERROR(OFFSET('HARGA SATUAN'!$I$6,MATCH(C21,'HARGA SATUAN'!$C$7:$C$1495,0),0)),"",OFFSET('HARGA SATUAN'!$I$6,MATCH(C21,'HARGA SATUAN'!$C$7:$C$1495,0),0))</f>
        <v>54500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SATUAN'!$C$7:$C$1495,0),0)),"",OFFSET('HARGA SATUAN'!$D$6,MATCH(C22,'HARGA SATUAN'!$C$7:$C$1495,0),0))</f>
        <v>HDW</v>
      </c>
      <c r="E22" s="101" t="str">
        <f ca="1">IF(B22="+","Unit",IF(ISERROR(OFFSET('HARGA SATUAN'!$E$6,MATCH(C22,'HARGA SATUAN'!$C$7:$C$1495,0),0)),"",OFFSET('HARGA SATUAN'!$E$6,MATCH(C22,'HARGA SATUAN'!$C$7:$C$1495,0),0)))</f>
        <v>Unit</v>
      </c>
      <c r="F22" s="138">
        <f t="shared" ca="1" si="2"/>
        <v>1</v>
      </c>
      <c r="G22" s="41">
        <f ca="1">IF(ISERROR(OFFSET('HARGA SATUAN'!$I$6,MATCH(C22,'HARGA SATUAN'!$C$7:$C$1495,0),0)),"",OFFSET('HARGA SATUAN'!$I$6,MATCH(C22,'HARGA SATUAN'!$C$7:$C$1495,0),0))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SUMIFS(RAB!$F$14:$F$237,RAB!$C$14:$C$237,C714)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SUMIFS(RAB!$F$14:$F$237,RAB!$C$14:$C$237,C715)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SUMIFS(RAB!$F$14:$F$237,RAB!$C$14:$C$237,C716)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SUMIFS(RAB!$F$14:$F$237,RAB!$C$14:$C$237,C717)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SUMIFS(RAB!$F$14:$F$237,RAB!$C$14:$C$237,C718)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SUMIFS(RAB!$F$14:$F$237,RAB!$C$14:$C$237,C719)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SUMIFS(RAB!$F$14:$F$237,RAB!$C$14:$C$237,C720)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SUMIFS(RAB!$F$14:$F$237,RAB!$C$14:$C$237,C721)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SUMIFS(RAB!$F$14:$F$237,RAB!$C$14:$C$237,C722)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SUMIFS(RAB!$F$14:$F$237,RAB!$C$14:$C$237,C723)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SUMIFS(RAB!$F$14:$F$237,RAB!$C$14:$C$237,C724)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SUMIFS(RAB!$F$14:$F$237,RAB!$C$14:$C$237,C725)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SUMIFS(RAB!$F$14:$F$237,RAB!$C$14:$C$237,C726)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SUMIFS(RAB!$F$14:$F$237,RAB!$C$14:$C$237,C727)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SUMIFS(RAB!$F$14:$F$237,RAB!$C$14:$C$237,C728)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SUMIFS(RAB!$F$14:$F$237,RAB!$C$14:$C$237,C729)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SUMIFS(RAB!$F$14:$F$237,RAB!$C$14:$C$237,C730)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SUMIFS(RAB!$F$14:$F$237,RAB!$C$14:$C$237,C731)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SUMIFS(RAB!$F$14:$F$237,RAB!$C$14:$C$237,C732)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SUMIFS(RAB!$F$14:$F$237,RAB!$C$14:$C$237,C733)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SUMIFS(RAB!$F$14:$F$237,RAB!$C$14:$C$237,C734)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SUMIFS(RAB!$F$14:$F$237,RAB!$C$14:$C$237,C735)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SUMIFS(RAB!$F$14:$F$237,RAB!$C$14:$C$237,C736)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SUMIFS(RAB!$F$14:$F$237,RAB!$C$14:$C$237,C737)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SUMIFS(RAB!$F$14:$F$237,RAB!$C$14:$C$237,C738)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SUMIFS(RAB!$F$14:$F$237,RAB!$C$14:$C$237,C739)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SUMIFS(RAB!$F$14:$F$237,RAB!$C$14:$C$237,C740)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SUMIFS(RAB!$F$14:$F$237,RAB!$C$14:$C$237,C741)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SUMIFS(RAB!$F$14:$F$237,RAB!$C$14:$C$237,C742)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SUMIFS(RAB!$F$14:$F$237,RAB!$C$14:$C$237,C743)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SUMIFS(RAB!$F$14:$F$237,RAB!$C$14:$C$237,C744)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SUMIFS(RAB!$F$14:$F$237,RAB!$C$14:$C$237,C745)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SUMIFS(RAB!$F$14:$F$237,RAB!$C$14:$C$237,C746)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SUMIFS(RAB!$F$14:$F$237,RAB!$C$14:$C$237,C747)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SUMIFS(RAB!$F$14:$F$237,RAB!$C$14:$C$237,C748)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SUMIFS(RAB!$F$14:$F$237,RAB!$C$14:$C$237,C749)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SUMIFS(RAB!$F$14:$F$237,RAB!$C$14:$C$237,C750)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SUMIFS(RAB!$F$14:$F$237,RAB!$C$14:$C$237,C751)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SUMIFS(RAB!$F$14:$F$237,RAB!$C$14:$C$237,C752)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SUMIFS(RAB!$F$14:$F$237,RAB!$C$14:$C$237,C753)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SUMIFS(RAB!$F$14:$F$237,RAB!$C$14:$C$237,C754)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SUMIFS(RAB!$F$14:$F$237,RAB!$C$14:$C$237,C755)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SUMIFS(RAB!$F$14:$F$237,RAB!$C$14:$C$237,C756)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SUMIFS(RAB!$F$14:$F$237,RAB!$C$14:$C$237,C757)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SUMIFS(RAB!$F$14:$F$237,RAB!$C$14:$C$237,C758)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SUMIFS(RAB!$F$14:$F$237,RAB!$C$14:$C$237,C759)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SUMIFS(RAB!$F$14:$F$237,RAB!$C$14:$C$237,C760)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SUMIFS(RAB!$F$14:$F$237,RAB!$C$14:$C$237,C761)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SUMIFS(RAB!$F$14:$F$237,RAB!$C$14:$C$237,C762)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SUMIFS(RAB!$F$14:$F$237,RAB!$C$14:$C$237,C763)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SUMIFS(RAB!$F$14:$F$237,RAB!$C$14:$C$237,C764)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SUMIFS(RAB!$F$14:$F$237,RAB!$C$14:$C$237,C765)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SUMIFS(RAB!$F$14:$F$237,RAB!$C$14:$C$237,C766)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SUMIFS(RAB!$F$14:$F$237,RAB!$C$14:$C$237,C767)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SUMIFS(RAB!$F$14:$F$237,RAB!$C$14:$C$237,C768)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SUMIFS(RAB!$F$14:$F$237,RAB!$C$14:$C$237,C769)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SUMIFS(RAB!$F$14:$F$237,RAB!$C$14:$C$237,C770)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SUMIFS(RAB!$F$14:$F$237,RAB!$C$14:$C$237,C771)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SUMIFS(RAB!$F$14:$F$237,RAB!$C$14:$C$237,C772)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SUMIFS(RAB!$F$14:$F$237,RAB!$C$14:$C$237,C773)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SUMIFS(RAB!$F$14:$F$237,RAB!$C$14:$C$237,C774)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SUMIFS(RAB!$F$14:$F$237,RAB!$C$14:$C$237,C775)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SUMIFS(RAB!$F$14:$F$237,RAB!$C$14:$C$237,C776)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SUMIFS(RAB!$F$14:$F$237,RAB!$C$14:$C$237,C777)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SUMIFS(RAB!$F$14:$F$237,RAB!$C$14:$C$237,C778)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SUMIFS(RAB!$F$14:$F$237,RAB!$C$14:$C$237,C779)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SUMIFS(RAB!$F$14:$F$237,RAB!$C$14:$C$237,C780)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SUMIFS(RAB!$F$14:$F$237,RAB!$C$14:$C$237,C781)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SUMIFS(RAB!$F$14:$F$237,RAB!$C$14:$C$237,C782)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SUMIFS(RAB!$F$14:$F$237,RAB!$C$14:$C$237,C783)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SUMIFS(RAB!$F$14:$F$237,RAB!$C$14:$C$237,C784)</f>
        <v>1</v>
      </c>
      <c r="E784" s="26">
        <f t="shared" ca="1" si="34"/>
        <v>1</v>
      </c>
      <c r="F784" s="26">
        <f ca="1">IF(D784=0,0,SUM($E$713:E784))</f>
        <v>2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SUMIFS(RAB!$F$14:$F$237,RAB!$C$14:$C$237,C785)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SUMIFS(RAB!$F$14:$F$237,RAB!$C$14:$C$237,C786)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SUMIFS(RAB!$F$14:$F$237,RAB!$C$14:$C$237,C787)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SUMIFS(RAB!$F$14:$F$237,RAB!$C$14:$C$237,C788)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SUMIFS(RAB!$F$14:$F$237,RAB!$C$14:$C$237,C789)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SUMIFS(RAB!$F$14:$F$237,RAB!$C$14:$C$237,C790)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SUMIFS(RAB!$F$14:$F$237,RAB!$C$14:$C$237,C791)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SUMIFS(RAB!$F$14:$F$237,RAB!$C$14:$C$237,C792)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SUMIFS(RAB!$F$14:$F$237,RAB!$C$14:$C$237,C793)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SUMIFS(RAB!$F$14:$F$237,RAB!$C$14:$C$237,C794)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SUMIFS(RAB!$F$14:$F$237,RAB!$C$14:$C$237,C795)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SUMIFS(RAB!$F$14:$F$237,RAB!$C$14:$C$237,C796)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SUMIFS(RAB!$F$14:$F$237,RAB!$C$14:$C$237,C797)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SUMIFS(RAB!$F$14:$F$237,RAB!$C$14:$C$237,C798)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SUMIFS(RAB!$F$14:$F$237,RAB!$C$14:$C$237,C799)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SUMIFS(RAB!$F$14:$F$237,RAB!$C$14:$C$237,C800)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SUMIFS(RAB!$F$14:$F$237,RAB!$C$14:$C$237,C801)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SUMIFS(RAB!$F$14:$F$237,RAB!$C$14:$C$237,C802)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SUMIFS(RAB!$F$14:$F$237,RAB!$C$14:$C$237,C803)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SUMIFS(RAB!$F$14:$F$237,RAB!$C$14:$C$237,C804)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SUMIFS(RAB!$F$14:$F$237,RAB!$C$14:$C$237,C805)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SUMIFS(RAB!$F$14:$F$237,RAB!$C$14:$C$237,C806)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SUMIFS(RAB!$F$14:$F$237,RAB!$C$14:$C$237,C807)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SUMIFS(RAB!$F$14:$F$237,RAB!$C$14:$C$237,C808)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SUMIFS(RAB!$F$14:$F$237,RAB!$C$14:$C$237,C809)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SUMIFS(RAB!$F$14:$F$237,RAB!$C$14:$C$237,C810)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SUMIFS(RAB!$F$14:$F$237,RAB!$C$14:$C$237,C811)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SUMIFS(RAB!$F$14:$F$237,RAB!$C$14:$C$237,C812)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SUMIFS(RAB!$F$14:$F$237,RAB!$C$14:$C$237,C813)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SUMIFS(RAB!$F$14:$F$237,RAB!$C$14:$C$237,C814)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SUMIFS(RAB!$F$14:$F$237,RAB!$C$14:$C$237,C815)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SUMIFS(RAB!$F$14:$F$237,RAB!$C$14:$C$237,C816)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SUMIFS(RAB!$F$14:$F$237,RAB!$C$14:$C$237,C817)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SUMIFS(RAB!$F$14:$F$237,RAB!$C$14:$C$237,C818)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SUMIFS(RAB!$F$14:$F$237,RAB!$C$14:$C$237,C819)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SUMIFS(RAB!$F$14:$F$237,RAB!$C$14:$C$237,C820)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SUMIFS(RAB!$F$14:$F$237,RAB!$C$14:$C$237,C821)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SUMIFS(RAB!$F$14:$F$237,RAB!$C$14:$C$237,C822)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SUMIFS(RAB!$F$14:$F$237,RAB!$C$14:$C$237,C823)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SUMIFS(RAB!$F$14:$F$237,RAB!$C$14:$C$237,C824)</f>
        <v>24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SUMIFS(RAB!$F$14:$F$237,RAB!$C$14:$C$237,C825)</f>
        <v>12</v>
      </c>
      <c r="E825" s="26">
        <f t="shared" ca="1" si="34"/>
        <v>1</v>
      </c>
      <c r="F825" s="26">
        <f ca="1">IF(D825=0,0,SUM($E$713:E825))</f>
        <v>7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SUMIFS(RAB!$F$14:$F$237,RAB!$C$14:$C$237,C826)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SUMIFS(RAB!$F$14:$F$237,RAB!$C$14:$C$237,C827)</f>
        <v>1</v>
      </c>
      <c r="E827" s="26">
        <f t="shared" ca="1" si="34"/>
        <v>1</v>
      </c>
      <c r="F827" s="26">
        <f ca="1">IF(D827=0,0,SUM($E$713:E827))</f>
        <v>8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SUMIFS(RAB!$F$14:$F$237,RAB!$C$14:$C$237,C828)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SUMIFS(RAB!$F$14:$F$237,RAB!$C$14:$C$237,C829)</f>
        <v>2889</v>
      </c>
      <c r="E829" s="26">
        <f t="shared" ca="1" si="34"/>
        <v>1</v>
      </c>
      <c r="F829" s="26">
        <f ca="1">IF(D829=0,0,SUM($E$713:E829))</f>
        <v>9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SUMIFS(RAB!$F$14:$F$237,RAB!$C$14:$C$237,C830)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SUMIFS(RAB!$F$14:$F$237,RAB!$C$14:$C$237,C831)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SUMIFS(RAB!$F$14:$F$237,RAB!$C$14:$C$237,C832)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SUMIFS(RAB!$F$14:$F$237,RAB!$C$14:$C$237,C833)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SUMIFS(RAB!$F$14:$F$237,RAB!$C$14:$C$237,C834)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SUMIFS(RAB!$F$14:$F$237,RAB!$C$14:$C$237,C835)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SUMIFS(RAB!$F$14:$F$237,RAB!$C$14:$C$237,C836)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SUMIFS(RAB!$F$14:$F$237,RAB!$C$14:$C$237,C837)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SUMIFS(RAB!$F$14:$F$237,RAB!$C$14:$C$237,C838)</f>
        <v>580</v>
      </c>
      <c r="E838" s="26">
        <f t="shared" ca="1" si="34"/>
        <v>1</v>
      </c>
      <c r="F838" s="26">
        <f ca="1">IF(D838=0,0,SUM($E$713:E838))</f>
        <v>10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SUMIFS(RAB!$F$14:$F$237,RAB!$C$14:$C$237,C839)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SUMIFS(RAB!$F$14:$F$237,RAB!$C$14:$C$237,C840)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SUMIFS(RAB!$F$14:$F$237,RAB!$C$14:$C$237,C841)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SUMIFS(RAB!$F$14:$F$237,RAB!$C$14:$C$237,C842)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SUMIFS(RAB!$F$14:$F$237,RAB!$C$14:$C$237,C843)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SUMIFS(RAB!$F$14:$F$237,RAB!$C$14:$C$237,C844)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SUMIFS(RAB!$F$14:$F$237,RAB!$C$14:$C$237,C845)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SUMIFS(RAB!$F$14:$F$237,RAB!$C$14:$C$237,C846)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SUMIFS(RAB!$F$14:$F$237,RAB!$C$14:$C$237,C847)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SUMIFS(RAB!$F$14:$F$237,RAB!$C$14:$C$237,C848)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SUMIFS(RAB!$F$14:$F$237,RAB!$C$14:$C$237,C849)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SUMIFS(RAB!$F$14:$F$237,RAB!$C$14:$C$237,C850)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SUMIFS(RAB!$F$14:$F$237,RAB!$C$14:$C$237,C851)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SUMIFS(RAB!$F$14:$F$237,RAB!$C$14:$C$237,C852)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SUMIFS(RAB!$F$14:$F$237,RAB!$C$14:$C$237,C853)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SUMIFS(RAB!$F$14:$F$237,RAB!$C$14:$C$237,C854)</f>
        <v>1</v>
      </c>
      <c r="E854" s="26">
        <f t="shared" ca="1" si="35"/>
        <v>1</v>
      </c>
      <c r="F854" s="26">
        <f ca="1">IF(D854=0,0,SUM($E$713:E854))</f>
        <v>11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SUMIFS(RAB!$F$14:$F$237,RAB!$C$14:$C$237,C855)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SUMIFS(RAB!$F$14:$F$237,RAB!$C$14:$C$237,C856)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SUMIFS(RAB!$F$14:$F$237,RAB!$C$14:$C$237,C857)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SUMIFS(RAB!$F$14:$F$237,RAB!$C$14:$C$237,C858)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SUMIFS(RAB!$F$14:$F$237,RAB!$C$14:$C$237,C859)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SUMIFS(RAB!$F$14:$F$237,RAB!$C$14:$C$237,C860)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SUMIFS(RAB!$F$14:$F$237,RAB!$C$14:$C$237,C861)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SUMIFS(RAB!$F$14:$F$237,RAB!$C$14:$C$237,C862)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SUMIFS(RAB!$F$14:$F$237,RAB!$C$14:$C$237,C863)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SUMIFS(RAB!$F$14:$F$237,RAB!$C$14:$C$237,C864)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SUMIFS(RAB!$F$14:$F$237,RAB!$C$14:$C$237,C865)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SUMIFS(RAB!$F$14:$F$237,RAB!$C$14:$C$237,C866)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SUMIFS(RAB!$F$14:$F$237,RAB!$C$14:$C$237,C867)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SUMIFS(RAB!$F$14:$F$237,RAB!$C$14:$C$237,C868)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SUMIFS(RAB!$F$14:$F$237,RAB!$C$14:$C$237,C869)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SUMIFS(RAB!$F$14:$F$237,RAB!$C$14:$C$237,C870)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SUMIFS(RAB!$F$14:$F$237,RAB!$C$14:$C$237,C871)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SUMIFS(RAB!$F$14:$F$237,RAB!$C$14:$C$237,C872)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SUMIFS(RAB!$F$14:$F$237,RAB!$C$14:$C$237,C873)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SUMIFS(RAB!$F$14:$F$237,RAB!$C$14:$C$237,C874)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SUMIFS(RAB!$F$14:$F$237,RAB!$C$14:$C$237,C875)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SUMIFS(RAB!$F$14:$F$237,RAB!$C$14:$C$237,C876)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SUMIFS(RAB!$F$14:$F$237,RAB!$C$14:$C$237,C877)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SUMIFS(RAB!$F$14:$F$237,RAB!$C$14:$C$237,C878)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SUMIFS(RAB!$F$14:$F$237,RAB!$C$14:$C$237,C879)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SUMIFS(RAB!$F$14:$F$237,RAB!$C$14:$C$237,C880)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SUMIFS(RAB!$F$14:$F$237,RAB!$C$14:$C$237,C881)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SUMIFS(RAB!$F$14:$F$237,RAB!$C$14:$C$237,C882)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SUMIFS(RAB!$F$14:$F$237,RAB!$C$14:$C$237,C883)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SUMIFS(RAB!$F$14:$F$237,RAB!$C$14:$C$237,C884)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SUMIFS(RAB!$F$14:$F$237,RAB!$C$14:$C$237,C885)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SUMIFS(RAB!$F$14:$F$237,RAB!$C$14:$C$237,C886)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SUMIFS(RAB!$F$14:$F$237,RAB!$C$14:$C$237,C887)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SUMIFS(RAB!$F$14:$F$237,RAB!$C$14:$C$237,C888)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SUMIFS(RAB!$F$14:$F$237,RAB!$C$14:$C$237,C889)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SUMIFS(RAB!$F$14:$F$237,RAB!$C$14:$C$237,C890)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SUMIFS(RAB!$F$14:$F$237,RAB!$C$14:$C$237,C891)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SUMIFS(RAB!$F$14:$F$237,RAB!$C$14:$C$237,C892)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SUMIFS(RAB!$F$14:$F$237,RAB!$C$14:$C$237,C893)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SUMIFS(RAB!$F$14:$F$237,RAB!$C$14:$C$237,C894)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SUMIFS(RAB!$F$14:$F$237,RAB!$C$14:$C$237,C895)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SUMIFS(RAB!$F$14:$F$237,RAB!$C$14:$C$237,C896)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SUMIFS(RAB!$F$14:$F$237,RAB!$C$14:$C$237,C897)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SUMIFS(RAB!$F$14:$F$237,RAB!$C$14:$C$237,C898)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SUMIFS(RAB!$F$14:$F$237,RAB!$C$14:$C$237,C899)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SUMIFS(RAB!$F$14:$F$237,RAB!$C$14:$C$237,C900)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SUMIFS(RAB!$F$14:$F$237,RAB!$C$14:$C$237,C901)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SUMIFS(RAB!$F$14:$F$237,RAB!$C$14:$C$237,C902)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SUMIFS(RAB!$F$14:$F$237,RAB!$C$14:$C$237,C903)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SUMIFS(RAB!$F$14:$F$237,RAB!$C$14:$C$237,C904)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SUMIFS(RAB!$F$14:$F$237,RAB!$C$14:$C$237,C905)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SUMIFS(RAB!$F$14:$F$237,RAB!$C$14:$C$237,C906)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SUMIFS(RAB!$F$14:$F$237,RAB!$C$14:$C$237,C907)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SUMIFS(RAB!$F$14:$F$237,RAB!$C$14:$C$237,C908)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SUMIFS(RAB!$F$14:$F$237,RAB!$C$14:$C$237,C909)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SUMIFS(RAB!$F$14:$F$237,RAB!$C$14:$C$237,C910)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SUMIFS(RAB!$F$14:$F$237,RAB!$C$14:$C$237,C911)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SUMIFS(RAB!$F$14:$F$237,RAB!$C$14:$C$237,C912)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SUMIFS(RAB!$F$14:$F$237,RAB!$C$14:$C$237,C913)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SUMIFS(RAB!$F$14:$F$237,RAB!$C$14:$C$237,C914)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SUMIFS(RAB!$F$14:$F$237,RAB!$C$14:$C$237,C915)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SUMIFS(RAB!$F$14:$F$237,RAB!$C$14:$C$237,C916)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SUMIFS(RAB!$F$14:$F$237,RAB!$C$14:$C$237,C917)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SUMIFS(RAB!$F$14:$F$237,RAB!$C$14:$C$237,C918)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SUMIFS(RAB!$F$14:$F$237,RAB!$C$14:$C$237,C919)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SUMIFS(RAB!$F$14:$F$237,RAB!$C$14:$C$237,C920)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SUMIFS(RAB!$F$14:$F$237,RAB!$C$14:$C$237,C921)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SUMIFS(RAB!$F$14:$F$237,RAB!$C$14:$C$237,C922)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SUMIFS(RAB!$F$14:$F$237,RAB!$C$14:$C$237,C923)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SUMIFS(RAB!$F$14:$F$237,RAB!$C$14:$C$237,C924)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SUMIFS(RAB!$F$14:$F$237,RAB!$C$14:$C$237,C925)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SUMIFS(RAB!$F$14:$F$237,RAB!$C$14:$C$237,C926)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SUMIFS(RAB!$F$14:$F$237,RAB!$C$14:$C$237,C927)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SUMIFS(RAB!$F$14:$F$237,RAB!$C$14:$C$237,C928)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SUMIFS(RAB!$F$14:$F$237,RAB!$C$14:$C$237,C929)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SUMIFS(RAB!$F$14:$F$237,RAB!$C$14:$C$237,C930)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SUMIFS(RAB!$F$14:$F$237,RAB!$C$14:$C$237,C931)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SUMIFS(RAB!$F$14:$F$237,RAB!$C$14:$C$237,C932)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SUMIFS(RAB!$F$14:$F$237,RAB!$C$14:$C$237,C933)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SUMIFS(RAB!$F$14:$F$237,RAB!$C$14:$C$237,C934)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SUMIFS(RAB!$F$14:$F$237,RAB!$C$14:$C$237,C935)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SUMIFS(RAB!$F$14:$F$237,RAB!$C$14:$C$237,C936)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SUMIFS(RAB!$F$14:$F$237,RAB!$C$14:$C$237,C937)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SUMIFS(RAB!$F$14:$F$237,RAB!$C$14:$C$237,C938)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SUMIFS(RAB!$F$14:$F$237,RAB!$C$14:$C$237,C939)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SUMIFS(RAB!$F$14:$F$237,RAB!$C$14:$C$237,C940)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SUMIFS(RAB!$F$14:$F$237,RAB!$C$14:$C$237,C941)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SUMIFS(RAB!$F$14:$F$237,RAB!$C$14:$C$237,C942)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SUMIFS(RAB!$F$14:$F$237,RAB!$C$14:$C$237,C943)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SUMIFS(RAB!$F$14:$F$237,RAB!$C$14:$C$237,C944)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SUMIFS(RAB!$F$14:$F$237,RAB!$C$14:$C$237,C945)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SUMIFS(RAB!$F$14:$F$237,RAB!$C$14:$C$237,C946)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SUMIFS(RAB!$F$14:$F$237,RAB!$C$14:$C$237,C947)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SUMIFS(RAB!$F$14:$F$237,RAB!$C$14:$C$237,C948)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SUMIFS(RAB!$F$14:$F$237,RAB!$C$14:$C$237,C949)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SUMIFS(RAB!$F$14:$F$237,RAB!$C$14:$C$237,C950)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SUMIFS(RAB!$F$14:$F$237,RAB!$C$14:$C$237,C951)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SUMIFS(RAB!$F$14:$F$237,RAB!$C$14:$C$237,C952)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SUMIFS(RAB!$F$14:$F$237,RAB!$C$14:$C$237,C953)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SUMIFS(RAB!$F$14:$F$237,RAB!$C$14:$C$237,C954)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SUMIFS(RAB!$F$14:$F$237,RAB!$C$14:$C$237,C955)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SUMIFS(RAB!$F$14:$F$237,RAB!$C$14:$C$237,C956)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SUMIFS(RAB!$F$14:$F$237,RAB!$C$14:$C$237,C957)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SUMIFS(RAB!$F$14:$F$237,RAB!$C$14:$C$237,C958)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SUMIFS(RAB!$F$14:$F$237,RAB!$C$14:$C$237,C959)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SUMIFS(RAB!$F$14:$F$237,RAB!$C$14:$C$237,C960)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SUMIFS(RAB!$F$14:$F$237,RAB!$C$14:$C$237,C961)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SUMIFS(RAB!$F$14:$F$237,RAB!$C$14:$C$237,C962)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SUMIFS(RAB!$F$14:$F$237,RAB!$C$14:$C$237,C963)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SUMIFS(RAB!$F$14:$F$237,RAB!$C$14:$C$237,C964)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SUMIFS(RAB!$F$14:$F$237,RAB!$C$14:$C$237,C965)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SUMIFS(RAB!$F$14:$F$237,RAB!$C$14:$C$237,C966)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SUMIFS(RAB!$F$14:$F$237,RAB!$C$14:$C$237,C967)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SUMIFS(RAB!$F$14:$F$237,RAB!$C$14:$C$237,C968)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SUMIFS(RAB!$F$14:$F$237,RAB!$C$14:$C$237,C969)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SUMIFS(RAB!$F$14:$F$237,RAB!$C$14:$C$237,C970)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SUMIFS(RAB!$F$14:$F$237,RAB!$C$14:$C$237,C971)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SUMIFS(RAB!$F$14:$F$237,RAB!$C$14:$C$237,C972)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SUMIFS(RAB!$F$14:$F$237,RAB!$C$14:$C$237,C973)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SUMIFS(RAB!$F$14:$F$237,RAB!$C$14:$C$237,C974)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SUMIFS(RAB!$F$14:$F$237,RAB!$C$14:$C$237,C975)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SUMIFS(RAB!$F$14:$F$237,RAB!$C$14:$C$237,C976)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SUMIFS(RAB!$F$14:$F$237,RAB!$C$14:$C$237,C977)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SUMIFS(RAB!$F$14:$F$237,RAB!$C$14:$C$237,C978)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SUMIFS(RAB!$F$14:$F$237,RAB!$C$14:$C$237,C979)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SUMIFS(RAB!$F$14:$F$237,RAB!$C$14:$C$237,C980)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SUMIFS(RAB!$F$14:$F$237,RAB!$C$14:$C$237,C981)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SUMIFS(RAB!$F$14:$F$237,RAB!$C$14:$C$237,C982)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SUMIFS(RAB!$F$14:$F$237,RAB!$C$14:$C$237,C983)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SUMIFS(RAB!$F$14:$F$237,RAB!$C$14:$C$237,C984)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SUMIFS(RAB!$F$14:$F$237,RAB!$C$14:$C$237,C985)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SUMIFS(RAB!$F$14:$F$237,RAB!$C$14:$C$237,C986)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SUMIFS(RAB!$F$14:$F$237,RAB!$C$14:$C$237,C987)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SUMIFS(RAB!$F$14:$F$237,RAB!$C$14:$C$237,C988)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SUMIFS(RAB!$F$14:$F$237,RAB!$C$14:$C$237,C989)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SUMIFS(RAB!$F$14:$F$237,RAB!$C$14:$C$237,C990)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SUMIFS(RAB!$F$14:$F$237,RAB!$C$14:$C$237,C991)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SUMIFS(RAB!$F$14:$F$237,RAB!$C$14:$C$237,C992)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SUMIFS(RAB!$F$14:$F$237,RAB!$C$14:$C$237,C993)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SUMIFS(RAB!$F$14:$F$237,RAB!$C$14:$C$237,C994)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SUMIFS(RAB!$F$14:$F$237,RAB!$C$14:$C$237,C995)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SUMIFS(RAB!$F$14:$F$237,RAB!$C$14:$C$237,C996)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SUMIFS(RAB!$F$14:$F$237,RAB!$C$14:$C$237,C997)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SUMIFS(RAB!$F$14:$F$237,RAB!$C$14:$C$237,C998)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SUMIFS(RAB!$F$14:$F$237,RAB!$C$14:$C$237,C999)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SUMIFS(RAB!$F$14:$F$237,RAB!$C$14:$C$237,C1000)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SUMIFS(RAB!$F$14:$F$237,RAB!$C$14:$C$237,C1001)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SUMIFS(RAB!$F$14:$F$237,RAB!$C$14:$C$237,C1002)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SUMIFS(RAB!$F$14:$F$237,RAB!$C$14:$C$237,C1003)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SUMIFS(RAB!$F$14:$F$237,RAB!$C$14:$C$237,C1004)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SUMIFS(RAB!$F$14:$F$237,RAB!$C$14:$C$237,C1005)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SUMIFS(RAB!$F$14:$F$237,RAB!$C$14:$C$237,C1006)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SUMIFS(RAB!$F$14:$F$237,RAB!$C$14:$C$237,C1007)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SUMIFS(RAB!$F$14:$F$237,RAB!$C$14:$C$237,C1008)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SUMIFS(RAB!$F$14:$F$237,RAB!$C$14:$C$237,C1009)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SUMIFS(RAB!$F$14:$F$237,RAB!$C$14:$C$237,C1010)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SUMIFS(RAB!$F$14:$F$237,RAB!$C$14:$C$237,C1011)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SUMIFS(RAB!$F$14:$F$237,RAB!$C$14:$C$237,C1012)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SUMIFS(RAB!$F$14:$F$237,RAB!$C$14:$C$237,C1013)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SUMIFS(RAB!$F$14:$F$237,RAB!$C$14:$C$237,C1014)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SUMIFS(RAB!$F$14:$F$237,RAB!$C$14:$C$237,C1015)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SUMIFS(RAB!$F$14:$F$237,RAB!$C$14:$C$237,C1016)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SUMIFS(RAB!$F$14:$F$237,RAB!$C$14:$C$237,C1017)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SUMIFS(RAB!$F$14:$F$237,RAB!$C$14:$C$237,C1018)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SUMIFS(RAB!$F$14:$F$237,RAB!$C$14:$C$237,C1019)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SUMIFS(RAB!$F$14:$F$237,RAB!$C$14:$C$237,C1020)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SUMIFS(RAB!$F$14:$F$237,RAB!$C$14:$C$237,C1021)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SUMIFS(RAB!$F$14:$F$237,RAB!$C$14:$C$237,C1022)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SUMIFS(RAB!$F$14:$F$237,RAB!$C$14:$C$237,C1023)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SUMIFS(RAB!$F$14:$F$237,RAB!$C$14:$C$237,C1024)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SUMIFS(RAB!$F$14:$F$237,RAB!$C$14:$C$237,C1025)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SUMIFS(RAB!$F$14:$F$237,RAB!$C$14:$C$237,C1026)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SUMIFS(RAB!$F$14:$F$237,RAB!$C$14:$C$237,C1027)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SUMIFS(RAB!$F$14:$F$237,RAB!$C$14:$C$237,C1028)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SUMIFS(RAB!$F$14:$F$237,RAB!$C$14:$C$237,C1029)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SUMIFS(RAB!$F$14:$F$237,RAB!$C$14:$C$237,C1030)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SUMIFS(RAB!$F$14:$F$237,RAB!$C$14:$C$237,C1031)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SUMIFS(RAB!$F$14:$F$237,RAB!$C$14:$C$237,C1032)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SUMIFS(RAB!$F$14:$F$237,RAB!$C$14:$C$237,C1033)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SUMIFS(RAB!$F$14:$F$237,RAB!$C$14:$C$237,C1034)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SUMIFS(RAB!$F$14:$F$237,RAB!$C$14:$C$237,C1035)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SUMIFS(RAB!$F$14:$F$237,RAB!$C$14:$C$237,C1036)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SUMIFS(RAB!$F$14:$F$237,RAB!$C$14:$C$237,C1037)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SUMIFS(RAB!$F$14:$F$237,RAB!$C$14:$C$237,C1038)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SUMIFS(RAB!$F$14:$F$237,RAB!$C$14:$C$237,C1039)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SUMIFS(RAB!$F$14:$F$237,RAB!$C$14:$C$237,C1040)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SUMIFS(RAB!$F$14:$F$237,RAB!$C$14:$C$237,C1041)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SUMIFS(RAB!$F$14:$F$237,RAB!$C$14:$C$237,C1042)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SUMIFS(RAB!$F$14:$F$237,RAB!$C$14:$C$237,C1043)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SUMIFS(RAB!$F$14:$F$237,RAB!$C$14:$C$237,C1044)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SUMIFS(RAB!$F$14:$F$237,RAB!$C$14:$C$237,C1045)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SUMIFS(RAB!$F$14:$F$237,RAB!$C$14:$C$237,C1046)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SUMIFS(RAB!$F$14:$F$237,RAB!$C$14:$C$237,C1047)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SUMIFS(RAB!$F$14:$F$237,RAB!$C$14:$C$237,C1048)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SUMIFS(RAB!$F$14:$F$237,RAB!$C$14:$C$237,C1049)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SUMIFS(RAB!$F$14:$F$237,RAB!$C$14:$C$237,C1050)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SUMIFS(RAB!$F$14:$F$237,RAB!$C$14:$C$237,C1051)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SUMIFS(RAB!$F$14:$F$237,RAB!$C$14:$C$237,C1052)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SUMIFS(RAB!$F$14:$F$237,RAB!$C$14:$C$237,C1053)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SUMIFS(RAB!$F$14:$F$237,RAB!$C$14:$C$237,C1054)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SUMIFS(RAB!$F$14:$F$237,RAB!$C$14:$C$237,C1055)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SUMIFS(RAB!$F$14:$F$237,RAB!$C$14:$C$237,C1056)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SUMIFS(RAB!$F$14:$F$237,RAB!$C$14:$C$237,C1057)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SUMIFS(RAB!$F$14:$F$237,RAB!$C$14:$C$237,C1058)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SUMIFS(RAB!$F$14:$F$237,RAB!$C$14:$C$237,C1059)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SUMIFS(RAB!$F$14:$F$237,RAB!$C$14:$C$237,C1060)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SUMIFS(RAB!$F$14:$F$237,RAB!$C$14:$C$237,C1061)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SUMIFS(RAB!$F$14:$F$237,RAB!$C$14:$C$237,C1062)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SUMIFS(RAB!$F$14:$F$237,RAB!$C$14:$C$237,C1063)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SUMIFS(RAB!$F$14:$F$237,RAB!$C$14:$C$237,C1064)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SUMIFS(RAB!$F$14:$F$237,RAB!$C$14:$C$237,C1065)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SUMIFS(RAB!$F$14:$F$237,RAB!$C$14:$C$237,C1066)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SUMIFS(RAB!$F$14:$F$237,RAB!$C$14:$C$237,C1067)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SUMIFS(RAB!$F$14:$F$237,RAB!$C$14:$C$237,C1068)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SUMIFS(RAB!$F$14:$F$237,RAB!$C$14:$C$237,C1069)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SUMIFS(RAB!$F$14:$F$237,RAB!$C$14:$C$237,C1070)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SUMIFS(RAB!$F$14:$F$237,RAB!$C$14:$C$237,C1071)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SUMIFS(RAB!$F$14:$F$237,RAB!$C$14:$C$237,C1072)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SUMIFS(RAB!$F$14:$F$237,RAB!$C$14:$C$237,C1073)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SUMIFS(RAB!$F$14:$F$237,RAB!$C$14:$C$237,C1074)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SUMIFS(RAB!$F$14:$F$237,RAB!$C$14:$C$237,C1075)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SUMIFS(RAB!$F$14:$F$237,RAB!$C$14:$C$237,C1076)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SUMIFS(RAB!$F$14:$F$237,RAB!$C$14:$C$237,C1077)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SUMIFS(RAB!$F$14:$F$237,RAB!$C$14:$C$237,C1078)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SUMIFS(RAB!$F$14:$F$237,RAB!$C$14:$C$237,C1079)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SUMIFS(RAB!$F$14:$F$237,RAB!$C$14:$C$237,C1080)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SUMIFS(RAB!$F$14:$F$237,RAB!$C$14:$C$237,C1081)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SUMIFS(RAB!$F$14:$F$237,RAB!$C$14:$C$237,C1082)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SUMIFS(RAB!$F$14:$F$237,RAB!$C$14:$C$237,C1083)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SUMIFS(RAB!$F$14:$F$237,RAB!$C$14:$C$237,C1084)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SUMIFS(RAB!$F$14:$F$237,RAB!$C$14:$C$237,C1085)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SUMIFS(RAB!$F$14:$F$237,RAB!$C$14:$C$237,C1086)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SUMIFS(RAB!$F$14:$F$237,RAB!$C$14:$C$237,C1087)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SUMIFS(RAB!$F$14:$F$237,RAB!$C$14:$C$237,C1088)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SUMIFS(RAB!$F$14:$F$237,RAB!$C$14:$C$237,C1089)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SUMIFS(RAB!$F$14:$F$237,RAB!$C$14:$C$237,C1090)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SUMIFS(RAB!$F$14:$F$237,RAB!$C$14:$C$237,C1091)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SUMIFS(RAB!$F$14:$F$237,RAB!$C$14:$C$237,C1092)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SUMIFS(RAB!$F$14:$F$237,RAB!$C$14:$C$237,C1093)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SUMIFS(RAB!$F$14:$F$237,RAB!$C$14:$C$237,C1094)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SUMIFS(RAB!$F$14:$F$237,RAB!$C$14:$C$237,C1095)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SUMIFS(RAB!$F$14:$F$237,RAB!$C$14:$C$237,C1096)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SUMIFS(RAB!$F$14:$F$237,RAB!$C$14:$C$237,C1097)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SUMIFS(RAB!$F$14:$F$237,RAB!$C$14:$C$237,C1098)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SUMIFS(RAB!$F$14:$F$237,RAB!$C$14:$C$237,C1099)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SUMIFS(RAB!$F$14:$F$237,RAB!$C$14:$C$237,C1100)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SUMIFS(RAB!$F$14:$F$237,RAB!$C$14:$C$237,C1101)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SUMIFS(RAB!$F$14:$F$237,RAB!$C$14:$C$237,C1102)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SUMIFS(RAB!$F$14:$F$237,RAB!$C$14:$C$237,C1103)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SUMIFS(RAB!$F$14:$F$237,RAB!$C$14:$C$237,C1104)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SUMIFS(RAB!$F$14:$F$237,RAB!$C$14:$C$237,C1105)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SUMIFS(RAB!$F$14:$F$237,RAB!$C$14:$C$237,C1106)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SUMIFS(RAB!$F$14:$F$237,RAB!$C$14:$C$237,C1107)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SUMIFS(RAB!$F$14:$F$237,RAB!$C$14:$C$237,C1108)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SUMIFS(RAB!$F$14:$F$237,RAB!$C$14:$C$237,C1109)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SUMIFS(RAB!$F$14:$F$237,RAB!$C$14:$C$237,C1110)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SUMIFS(RAB!$F$14:$F$237,RAB!$C$14:$C$237,C1111)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SUMIFS(RAB!$F$14:$F$237,RAB!$C$14:$C$237,C1112)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SUMIFS(RAB!$F$14:$F$237,RAB!$C$14:$C$237,C1113)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SUMIFS(RAB!$F$14:$F$237,RAB!$C$14:$C$237,C1114)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SUMIFS(RAB!$F$14:$F$237,RAB!$C$14:$C$237,C1115)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SUMIFS(RAB!$F$14:$F$237,RAB!$C$14:$C$237,C1116)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SUMIFS(RAB!$F$14:$F$237,RAB!$C$14:$C$237,C1117)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SUMIFS(RAB!$F$14:$F$237,RAB!$C$14:$C$237,C1118)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SUMIFS(RAB!$F$14:$F$237,RAB!$C$14:$C$237,C1119)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SUMIFS(RAB!$F$14:$F$237,RAB!$C$14:$C$237,C1120)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SUMIFS(RAB!$F$14:$F$237,RAB!$C$14:$C$237,C1121)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SUMIFS(RAB!$F$14:$F$237,RAB!$C$14:$C$237,C1122)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SUMIFS(RAB!$F$14:$F$237,RAB!$C$14:$C$237,C1123)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SUMIFS(RAB!$F$14:$F$237,RAB!$C$14:$C$237,C1124)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SUMIFS(RAB!$F$14:$F$237,RAB!$C$14:$C$237,C1125)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SUMIFS(RAB!$F$14:$F$237,RAB!$C$14:$C$237,C1126)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SUMIFS(RAB!$F$14:$F$237,RAB!$C$14:$C$237,C1127)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SUMIFS(RAB!$F$14:$F$237,RAB!$C$14:$C$237,C1128)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SUMIFS(RAB!$F$14:$F$237,RAB!$C$14:$C$237,C1129)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SUMIFS(RAB!$F$14:$F$237,RAB!$C$14:$C$237,C1130)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SUMIFS(RAB!$F$14:$F$237,RAB!$C$14:$C$237,C1131)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SUMIFS(RAB!$F$14:$F$237,RAB!$C$14:$C$237,C1132)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SUMIFS(RAB!$F$14:$F$237,RAB!$C$14:$C$237,C1133)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SUMIFS(RAB!$F$14:$F$237,RAB!$C$14:$C$237,C1134)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SUMIFS(RAB!$F$14:$F$237,RAB!$C$14:$C$237,C1135)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SUMIFS(RAB!$F$14:$F$237,RAB!$C$14:$C$237,C1136)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SUMIFS(RAB!$F$14:$F$237,RAB!$C$14:$C$237,C1137)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SUMIFS(RAB!$F$14:$F$237,RAB!$C$14:$C$237,C1138)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SUMIFS(RAB!$F$14:$F$237,RAB!$C$14:$C$237,C1139)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SUMIFS(RAB!$F$14:$F$237,RAB!$C$14:$C$237,C1140)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SUMIFS(RAB!$F$14:$F$237,RAB!$C$14:$C$237,C1141)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SUMIFS(RAB!$F$14:$F$237,RAB!$C$14:$C$237,C1142)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SUMIFS(RAB!$F$14:$F$237,RAB!$C$14:$C$237,C1143)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SUMIFS(RAB!$F$14:$F$237,RAB!$C$14:$C$237,C1144)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SUMIFS(RAB!$F$14:$F$237,RAB!$C$14:$C$237,C1145)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SUMIFS(RAB!$F$14:$F$237,RAB!$C$14:$C$237,C1146)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SUMIFS(RAB!$F$14:$F$237,RAB!$C$14:$C$237,C1147)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SUMIFS(RAB!$F$14:$F$237,RAB!$C$14:$C$237,C1148)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SUMIFS(RAB!$F$14:$F$237,RAB!$C$14:$C$237,C1149)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SUMIFS(RAB!$F$14:$F$237,RAB!$C$14:$C$237,C1150)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SUMIFS(RAB!$F$14:$F$237,RAB!$C$14:$C$237,C1151)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SUMIFS(RAB!$F$14:$F$237,RAB!$C$14:$C$237,C1152)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SUMIFS(RAB!$F$14:$F$237,RAB!$C$14:$C$237,C1153)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SUMIFS(RAB!$F$14:$F$237,RAB!$C$14:$C$237,C1154)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SUMIFS(RAB!$F$14:$F$237,RAB!$C$14:$C$237,C1155)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SUMIFS(RAB!$F$14:$F$237,RAB!$C$14:$C$237,C1156)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SUMIFS(RAB!$F$14:$F$237,RAB!$C$14:$C$237,C1157)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SUMIFS(RAB!$F$14:$F$237,RAB!$C$14:$C$237,C1158)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SUMIFS(RAB!$F$14:$F$237,RAB!$C$14:$C$237,C1159)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SUMIFS(RAB!$F$14:$F$237,RAB!$C$14:$C$237,C1160)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SUMIFS(RAB!$F$14:$F$237,RAB!$C$14:$C$237,C1161)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SUMIFS(RAB!$F$14:$F$237,RAB!$C$14:$C$237,C1162)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SUMIFS(RAB!$F$14:$F$237,RAB!$C$14:$C$237,C1163)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SUMIFS(RAB!$F$14:$F$237,RAB!$C$14:$C$237,C1164)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SUMIFS(RAB!$F$14:$F$237,RAB!$C$14:$C$237,C1165)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SUMIFS(RAB!$F$14:$F$237,RAB!$C$14:$C$237,C1166)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SUMIFS(RAB!$F$14:$F$237,RAB!$C$14:$C$237,C1167)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SUMIFS(RAB!$F$14:$F$237,RAB!$C$14:$C$237,C1168)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SUMIFS(RAB!$F$14:$F$237,RAB!$C$14:$C$237,C1169)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SUMIFS(RAB!$F$14:$F$237,RAB!$C$14:$C$237,C1170)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SUMIFS(RAB!$F$14:$F$237,RAB!$C$14:$C$237,C1171)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SUMIFS(RAB!$F$14:$F$237,RAB!$C$14:$C$237,C1172)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SUMIFS(RAB!$F$14:$F$237,RAB!$C$14:$C$237,C1173)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SUMIFS(RAB!$F$14:$F$237,RAB!$C$14:$C$237,C1174)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SUMIFS(RAB!$F$14:$F$237,RAB!$C$14:$C$237,C1175)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SUMIFS(RAB!$F$14:$F$237,RAB!$C$14:$C$237,C1176)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SUMIFS(RAB!$F$14:$F$237,RAB!$C$14:$C$237,C1177)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SUMIFS(RAB!$F$14:$F$237,RAB!$C$14:$C$237,C1178)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SUMIFS(RAB!$F$14:$F$237,RAB!$C$14:$C$237,C1179)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SUMIFS(RAB!$F$14:$F$237,RAB!$C$14:$C$237,C1180)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SUMIFS(RAB!$F$14:$F$237,RAB!$C$14:$C$237,C1181)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SUMIFS(RAB!$F$14:$F$237,RAB!$C$14:$C$237,C1182)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SUMIFS(RAB!$F$14:$F$237,RAB!$C$14:$C$237,C1183)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SUMIFS(RAB!$F$14:$F$237,RAB!$C$14:$C$237,C1184)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SUMIFS(RAB!$F$14:$F$237,RAB!$C$14:$C$237,C1185)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SUMIFS(RAB!$F$14:$F$237,RAB!$C$14:$C$237,C1186)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SUMIFS(RAB!$F$14:$F$237,RAB!$C$14:$C$237,C1187)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SUMIFS(RAB!$F$14:$F$237,RAB!$C$14:$C$237,C1188)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SUMIFS(RAB!$F$14:$F$237,RAB!$C$14:$C$237,C1189)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SUMIFS(RAB!$F$14:$F$237,RAB!$C$14:$C$237,C1190)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SUMIFS(RAB!$F$14:$F$237,RAB!$C$14:$C$237,C1191)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SUMIFS(RAB!$F$14:$F$237,RAB!$C$14:$C$237,C1192)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SUMIFS(RAB!$F$14:$F$237,RAB!$C$14:$C$237,C1193)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SUMIFS(RAB!$F$14:$F$237,RAB!$C$14:$C$237,C1194)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SUMIFS(RAB!$F$14:$F$237,RAB!$C$14:$C$237,C1195)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SUMIFS(RAB!$F$14:$F$237,RAB!$C$14:$C$237,C1196)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SUMIFS(RAB!$F$14:$F$237,RAB!$C$14:$C$237,C1197)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SUMIFS(RAB!$F$14:$F$237,RAB!$C$14:$C$237,C1198)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SUMIFS(RAB!$F$14:$F$237,RAB!$C$14:$C$237,C1199)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SUMIFS(RAB!$F$14:$F$237,RAB!$C$14:$C$237,C1200)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SUMIFS(RAB!$F$14:$F$237,RAB!$C$14:$C$237,C1201)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SUMIFS(RAB!$F$14:$F$237,RAB!$C$14:$C$237,C1202)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SUMIFS(RAB!$F$14:$F$237,RAB!$C$14:$C$237,C1203)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SUMIFS(RAB!$F$14:$F$237,RAB!$C$14:$C$237,C1204)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SUMIFS(RAB!$F$14:$F$237,RAB!$C$14:$C$237,C1205)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SUMIFS(RAB!$F$14:$F$237,RAB!$C$14:$C$237,C1206)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SUMIFS(RAB!$F$14:$F$237,RAB!$C$14:$C$237,C1207)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SUMIFS(RAB!$F$14:$F$237,RAB!$C$14:$C$237,C1208)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SUMIFS(RAB!$F$14:$F$237,RAB!$C$14:$C$237,C1209)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SUMIFS(RAB!$F$14:$F$237,RAB!$C$14:$C$237,C1210)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SUMIFS(RAB!$F$14:$F$237,RAB!$C$14:$C$237,C1211)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SUMIFS(RAB!$F$14:$F$237,RAB!$C$14:$C$237,C1212)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SUMIFS(RAB!$F$14:$F$237,RAB!$C$14:$C$237,C1213)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SUMIFS(RAB!$F$14:$F$237,RAB!$C$14:$C$237,C1214)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SUMIFS(RAB!$F$14:$F$237,RAB!$C$14:$C$237,C1215)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SUMIFS(RAB!$F$14:$F$237,RAB!$C$14:$C$237,C1216)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SUMIFS(RAB!$F$14:$F$237,RAB!$C$14:$C$237,C1217)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SUMIFS(RAB!$F$14:$F$237,RAB!$C$14:$C$237,C1218)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SUMIFS(RAB!$F$14:$F$237,RAB!$C$14:$C$237,C1219)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SUMIFS(RAB!$F$14:$F$237,RAB!$C$14:$C$237,C1220)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SUMIFS(RAB!$F$14:$F$237,RAB!$C$14:$C$237,C1221)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SUMIFS(RAB!$F$14:$F$237,RAB!$C$14:$C$237,C1222)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SUMIFS(RAB!$F$14:$F$237,RAB!$C$14:$C$237,C1223)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SUMIFS(RAB!$F$14:$F$237,RAB!$C$14:$C$237,C1224)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SUMIFS(RAB!$F$14:$F$237,RAB!$C$14:$C$237,C1225)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SUMIFS(RAB!$F$14:$F$237,RAB!$C$14:$C$237,C1226)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SUMIFS(RAB!$F$14:$F$237,RAB!$C$14:$C$237,C1227)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SUMIFS(RAB!$F$14:$F$237,RAB!$C$14:$C$237,C1228)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SUMIFS(RAB!$F$14:$F$237,RAB!$C$14:$C$237,C1229)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SUMIFS(RAB!$F$14:$F$237,RAB!$C$14:$C$237,C1230)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SUMIFS(RAB!$F$14:$F$237,RAB!$C$14:$C$237,C1231)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SUMIFS(RAB!$F$14:$F$237,RAB!$C$14:$C$237,C1232)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SUMIFS(RAB!$F$14:$F$237,RAB!$C$14:$C$237,C1233)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SUMIFS(RAB!$F$14:$F$237,RAB!$C$14:$C$237,C1234)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SUMIFS(RAB!$F$14:$F$237,RAB!$C$14:$C$237,C1235)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SUMIFS(RAB!$F$14:$F$237,RAB!$C$14:$C$237,C1236)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SUMIFS(RAB!$F$14:$F$237,RAB!$C$14:$C$237,C1237)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SUMIFS(RAB!$F$14:$F$237,RAB!$C$14:$C$237,C1238)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SUMIFS(RAB!$F$14:$F$237,RAB!$C$14:$C$237,C1239)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SUMIFS(RAB!$F$14:$F$237,RAB!$C$14:$C$237,C1240)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SUMIFS(RAB!$F$14:$F$237,RAB!$C$14:$C$237,C1241)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SUMIFS(RAB!$F$14:$F$237,RAB!$C$14:$C$237,C1242)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SUMIFS(RAB!$F$14:$F$237,RAB!$C$14:$C$237,C1243)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SUMIFS(RAB!$F$14:$F$237,RAB!$C$14:$C$237,C1244)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SUMIFS(RAB!$F$14:$F$237,RAB!$C$14:$C$237,C1245)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SUMIFS(RAB!$F$14:$F$237,RAB!$C$14:$C$237,C1246)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SUMIFS(RAB!$F$14:$F$237,RAB!$C$14:$C$237,C1247)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SUMIFS(RAB!$F$14:$F$237,RAB!$C$14:$C$237,C1248)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SUMIFS(RAB!$F$14:$F$237,RAB!$C$14:$C$237,C1249)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SUMIFS(RAB!$F$14:$F$237,RAB!$C$14:$C$237,C1250)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SUMIFS(RAB!$F$14:$F$237,RAB!$C$14:$C$237,C1251)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SUMIFS(RAB!$F$14:$F$237,RAB!$C$14:$C$237,C1252)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SUMIFS(RAB!$F$14:$F$237,RAB!$C$14:$C$237,C1253)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SUMIFS(RAB!$F$14:$F$237,RAB!$C$14:$C$237,C1254)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SUMIFS(RAB!$F$14:$F$237,RAB!$C$14:$C$237,C1255)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SUMIFS(RAB!$F$14:$F$237,RAB!$C$14:$C$237,C1256)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SUMIFS(RAB!$F$14:$F$237,RAB!$C$14:$C$237,C1257)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SUMIFS(RAB!$F$14:$F$237,RAB!$C$14:$C$237,C1258)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SUMIFS(RAB!$F$14:$F$237,RAB!$C$14:$C$237,C1259)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SUMIFS(RAB!$F$14:$F$237,RAB!$C$14:$C$237,C1260)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SUMIFS(RAB!$F$14:$F$237,RAB!$C$14:$C$237,C1261)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SUMIFS(RAB!$F$14:$F$237,RAB!$C$14:$C$237,C1262)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SUMIFS(RAB!$F$14:$F$237,RAB!$C$14:$C$237,C1263)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SUMIFS(RAB!$F$14:$F$237,RAB!$C$14:$C$237,C1264)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SUMIFS(RAB!$F$14:$F$237,RAB!$C$14:$C$237,C1265)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SUMIFS(RAB!$F$14:$F$237,RAB!$C$14:$C$237,C1266)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SUMIFS(RAB!$F$14:$F$237,RAB!$C$14:$C$237,C1267)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SUMIFS(RAB!$F$14:$F$237,RAB!$C$14:$C$237,C1268)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SUMIFS(RAB!$F$14:$F$237,RAB!$C$14:$C$237,C1269)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SUMIFS(RAB!$F$14:$F$237,RAB!$C$14:$C$237,C1270)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SUMIFS(RAB!$F$14:$F$237,RAB!$C$14:$C$237,C1271)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SUMIFS(RAB!$F$14:$F$237,RAB!$C$14:$C$237,C1272)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SUMIFS(RAB!$F$14:$F$237,RAB!$C$14:$C$237,C1273)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SUMIFS(RAB!$F$14:$F$237,RAB!$C$14:$C$237,C1274)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SUMIFS(RAB!$F$14:$F$237,RAB!$C$14:$C$237,C1275)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SUMIFS(RAB!$F$14:$F$237,RAB!$C$14:$C$237,C1276)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SUMIFS(RAB!$F$14:$F$237,RAB!$C$14:$C$237,C1277)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SUMIFS(RAB!$F$14:$F$237,RAB!$C$14:$C$237,C1278)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SUMIFS(RAB!$F$14:$F$237,RAB!$C$14:$C$237,C1279)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SUMIFS(RAB!$F$14:$F$237,RAB!$C$14:$C$237,C1280)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SUMIFS(RAB!$F$14:$F$237,RAB!$C$14:$C$237,C1281)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SUMIFS(RAB!$F$14:$F$237,RAB!$C$14:$C$237,C1282)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SUMIFS(RAB!$F$14:$F$237,RAB!$C$14:$C$237,C1283)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SUMIFS(RAB!$F$14:$F$237,RAB!$C$14:$C$237,C1284)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SUMIFS(RAB!$F$14:$F$237,RAB!$C$14:$C$237,C1285)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SUMIFS(RAB!$F$14:$F$237,RAB!$C$14:$C$237,C1286)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SUMIFS(RAB!$F$14:$F$237,RAB!$C$14:$C$237,C1287)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SUMIFS(RAB!$F$14:$F$237,RAB!$C$14:$C$237,C1288)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SUMIFS(RAB!$F$14:$F$237,RAB!$C$14:$C$237,C1289)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SUMIFS(RAB!$F$14:$F$237,RAB!$C$14:$C$237,C1290)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SUMIFS(RAB!$F$14:$F$237,RAB!$C$14:$C$237,C1291)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SUMIFS(RAB!$F$14:$F$237,RAB!$C$14:$C$237,C1292)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SUMIFS(RAB!$F$14:$F$237,RAB!$C$14:$C$237,C1293)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SUMIFS(RAB!$F$14:$F$237,RAB!$C$14:$C$237,C1294)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SUMIFS(RAB!$F$14:$F$237,RAB!$C$14:$C$237,C1295)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SUMIFS(RAB!$F$14:$F$237,RAB!$C$14:$C$237,C1296)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SUMIFS(RAB!$F$14:$F$237,RAB!$C$14:$C$237,C1297)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SUMIFS(RAB!$F$14:$F$237,RAB!$C$14:$C$237,C1298)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SUMIFS(RAB!$F$14:$F$237,RAB!$C$14:$C$237,C1299)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SUMIFS(RAB!$F$14:$F$237,RAB!$C$14:$C$237,C1300)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SUMIFS(RAB!$F$14:$F$237,RAB!$C$14:$C$237,C1301)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SUMIFS(RAB!$F$14:$F$237,RAB!$C$14:$C$237,C1302)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SUMIFS(RAB!$F$14:$F$237,RAB!$C$14:$C$237,C1303)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SUMIFS(RAB!$F$14:$F$237,RAB!$C$14:$C$237,C1304)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SUMIFS(RAB!$F$14:$F$237,RAB!$C$14:$C$237,C1305)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SUMIFS(RAB!$F$14:$F$237,RAB!$C$14:$C$237,C1306)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SUMIFS(RAB!$F$14:$F$237,RAB!$C$14:$C$237,C1307)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SUMIFS(RAB!$F$14:$F$237,RAB!$C$14:$C$237,C1308)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SUMIFS(RAB!$F$14:$F$237,RAB!$C$14:$C$237,C1309)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SUMIFS(RAB!$F$14:$F$237,RAB!$C$14:$C$237,C1310)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SUMIFS(RAB!$F$14:$F$237,RAB!$C$14:$C$237,C1311)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SUMIFS(RAB!$F$14:$F$237,RAB!$C$14:$C$237,C1312)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SUMIFS(RAB!$F$14:$F$237,RAB!$C$14:$C$237,C1313)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SUMIFS(RAB!$F$14:$F$237,RAB!$C$14:$C$237,C1314)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SUMIFS(RAB!$F$14:$F$237,RAB!$C$14:$C$237,C1315)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SUMIFS(RAB!$F$14:$F$237,RAB!$C$14:$C$237,C1316)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SUMIFS(RAB!$F$14:$F$237,RAB!$C$14:$C$237,C1317)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SUMIFS(RAB!$F$14:$F$237,RAB!$C$14:$C$237,C1318)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SUMIFS(RAB!$F$14:$F$237,RAB!$C$14:$C$237,C1319)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SUMIFS(RAB!$F$14:$F$237,RAB!$C$14:$C$237,C1320)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76" priority="5" operator="equal">
      <formula>0</formula>
    </cfRule>
  </conditionalFormatting>
  <conditionalFormatting sqref="A10:L65536">
    <cfRule type="cellIs" dxfId="75" priority="1" operator="equal">
      <formula>0</formula>
    </cfRule>
  </conditionalFormatting>
  <conditionalFormatting sqref="C12:C711">
    <cfRule type="cellIs" dxfId="74" priority="66" stopIfTrue="1" operator="equal">
      <formula>0</formula>
    </cfRule>
  </conditionalFormatting>
  <conditionalFormatting sqref="E712:E65536">
    <cfRule type="cellIs" dxfId="73" priority="16" stopIfTrue="1" operator="equal">
      <formula>0</formula>
    </cfRule>
  </conditionalFormatting>
  <conditionalFormatting sqref="G1:G11 E6:E11 E1:E3 H7 H10:H11 F10:F711 G712:G65536">
    <cfRule type="cellIs" dxfId="72" priority="69" stopIfTrue="1" operator="equal">
      <formula>0</formula>
    </cfRule>
  </conditionalFormatting>
  <conditionalFormatting sqref="G12:H711">
    <cfRule type="cellIs" dxfId="71" priority="12" stopIfTrue="1" operator="equal">
      <formula>0</formula>
    </cfRule>
  </conditionalFormatting>
  <conditionalFormatting sqref="I7:K7">
    <cfRule type="cellIs" dxfId="70" priority="4" stopIfTrue="1" operator="equal">
      <formula>0</formula>
    </cfRule>
  </conditionalFormatting>
  <conditionalFormatting sqref="I10:L711">
    <cfRule type="cellIs" dxfId="69" priority="2" stopIfTrue="1" operator="equal">
      <formula>0</formula>
    </cfRule>
  </conditionalFormatting>
  <conditionalFormatting sqref="L1:L6">
    <cfRule type="cellIs" dxfId="68" priority="10" operator="equal">
      <formula>0</formula>
    </cfRule>
  </conditionalFormatting>
  <conditionalFormatting sqref="M1:IV1048576 A8:G9">
    <cfRule type="cellIs" dxfId="6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3" t="s">
        <v>1127</v>
      </c>
      <c r="C4" s="543"/>
      <c r="D4" s="543"/>
      <c r="E4" s="543"/>
      <c r="F4" s="543"/>
      <c r="G4" s="543"/>
      <c r="H4" s="543"/>
      <c r="I4" s="543"/>
      <c r="J4" s="543"/>
      <c r="K4" s="54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PB EMI INDRAWATI 66KVA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TAMBIREJO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4" t="s">
        <v>0</v>
      </c>
      <c r="C11" s="546" t="s">
        <v>1</v>
      </c>
      <c r="D11" s="549" t="s">
        <v>42</v>
      </c>
      <c r="E11" s="549" t="s">
        <v>43</v>
      </c>
      <c r="F11" s="549" t="s">
        <v>2</v>
      </c>
      <c r="G11" s="550" t="s">
        <v>41</v>
      </c>
      <c r="H11" s="549" t="s">
        <v>3</v>
      </c>
      <c r="I11" s="549"/>
      <c r="J11" s="549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5"/>
      <c r="C12" s="547"/>
      <c r="D12" s="539"/>
      <c r="E12" s="539"/>
      <c r="F12" s="539"/>
      <c r="G12" s="551"/>
      <c r="H12" s="541" t="s">
        <v>46</v>
      </c>
      <c r="I12" s="541" t="s">
        <v>5</v>
      </c>
      <c r="J12" s="539" t="s">
        <v>47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5"/>
      <c r="C13" s="548"/>
      <c r="D13" s="539"/>
      <c r="E13" s="539"/>
      <c r="F13" s="539"/>
      <c r="G13" s="552"/>
      <c r="H13" s="542"/>
      <c r="I13" s="542"/>
      <c r="J13" s="539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7" t="s">
        <v>1008</v>
      </c>
      <c r="D38" s="537"/>
      <c r="E38" s="537"/>
      <c r="F38" s="537"/>
      <c r="G38" s="77" t="s">
        <v>9</v>
      </c>
      <c r="H38" s="55">
        <f ca="1">SUM(H14:H37)</f>
        <v>0</v>
      </c>
      <c r="I38" s="55">
        <f ca="1">SUM(I14:I37)</f>
        <v>6765200</v>
      </c>
      <c r="J38" s="55">
        <f ca="1">SUM(J14:J37)</f>
        <v>0</v>
      </c>
      <c r="K38" s="55">
        <f ca="1">SUM(K14:K37)</f>
        <v>6765200</v>
      </c>
      <c r="L38" s="44"/>
      <c r="R38" s="99"/>
      <c r="S38" s="99"/>
      <c r="T38" s="99"/>
    </row>
    <row r="39" spans="1:20" s="36" customFormat="1">
      <c r="A39" s="30"/>
      <c r="B39" s="56"/>
      <c r="C39" s="538" t="s">
        <v>462</v>
      </c>
      <c r="D39" s="538"/>
      <c r="E39" s="538"/>
      <c r="F39" s="538"/>
      <c r="G39" s="59" t="s">
        <v>9</v>
      </c>
      <c r="H39" s="60">
        <f ca="1">H38*0.1</f>
        <v>0</v>
      </c>
      <c r="I39" s="60">
        <f ca="1">I38*0.1</f>
        <v>676520</v>
      </c>
      <c r="J39" s="60">
        <f ca="1">J38*0.1</f>
        <v>0</v>
      </c>
      <c r="K39" s="60">
        <f ca="1">K38*0.1</f>
        <v>676520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7" t="s">
        <v>463</v>
      </c>
      <c r="D40" s="527"/>
      <c r="E40" s="527"/>
      <c r="F40" s="527"/>
      <c r="G40" s="61" t="s">
        <v>9</v>
      </c>
      <c r="H40" s="78">
        <f ca="1">SUM(H38:H39)</f>
        <v>0</v>
      </c>
      <c r="I40" s="78">
        <f ca="1">SUM(I38:I39)</f>
        <v>7441720</v>
      </c>
      <c r="J40" s="61">
        <f ca="1">SUM(J38:J39)</f>
        <v>0</v>
      </c>
      <c r="K40" s="61">
        <f ca="1">SUM(K38:K39)</f>
        <v>7441720</v>
      </c>
      <c r="L40" s="44"/>
      <c r="R40" s="99"/>
      <c r="S40" s="99"/>
      <c r="T40" s="99"/>
    </row>
    <row r="41" spans="1:20" s="36" customFormat="1">
      <c r="A41" s="30"/>
      <c r="B41" s="530" t="e">
        <f ca="1">"Terbilang : ( "&amp;L42&amp;" Rupiah )"</f>
        <v>#NAME?</v>
      </c>
      <c r="C41" s="531"/>
      <c r="D41" s="531"/>
      <c r="E41" s="531"/>
      <c r="F41" s="531"/>
      <c r="G41" s="531"/>
      <c r="H41" s="531"/>
      <c r="I41" s="531"/>
      <c r="J41" s="531"/>
      <c r="K41" s="532"/>
      <c r="L41" s="44"/>
      <c r="R41" s="58"/>
      <c r="S41" s="58"/>
      <c r="T41" s="58"/>
    </row>
    <row r="42" spans="1:20" s="36" customFormat="1">
      <c r="A42" s="30"/>
      <c r="B42" s="533"/>
      <c r="C42" s="534"/>
      <c r="D42" s="534"/>
      <c r="E42" s="534"/>
      <c r="F42" s="534"/>
      <c r="G42" s="534"/>
      <c r="H42" s="534"/>
      <c r="I42" s="534"/>
      <c r="J42" s="534"/>
      <c r="K42" s="53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8"/>
      <c r="I45" s="528"/>
      <c r="J45" s="529"/>
      <c r="K45" s="52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8"/>
      <c r="I46" s="528"/>
      <c r="J46" s="529"/>
      <c r="K46" s="52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8"/>
      <c r="I47" s="528"/>
      <c r="J47" s="529"/>
      <c r="K47" s="52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8"/>
      <c r="I52" s="528"/>
      <c r="J52" s="529"/>
      <c r="K52" s="52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SUMIFS(RAB!$F$14:$F$237,RAB!$C$14:$C$237,'REKAP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SUMIFS(RAB!$F$14:$F$237,RAB!$C$14:$C$237,'REKAP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SUMIFS(RAB!$F$14:$F$237,RAB!$C$14:$C$237,'REKAP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SUMIFS(RAB!$F$14:$F$237,RAB!$C$14:$C$237,'REKAP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SUMIFS(RAB!$F$14:$F$237,RAB!$C$14:$C$237,'REKAP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SUMIFS(RAB!$F$14:$F$237,RAB!$C$14:$C$237,'REKAP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SUMIFS(RAB!$F$14:$F$237,RAB!$C$14:$C$237,'REKAP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SUMIFS(RAB!$F$14:$F$237,RAB!$C$14:$C$237,'REKAP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SUMIFS(RAB!$F$14:$F$237,RAB!$C$14:$C$237,'REKAP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SUMIFS(RAB!$F$14:$F$237,RAB!$C$14:$C$237,'REKAP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SUMIFS(RAB!$F$14:$F$237,RAB!$C$14:$C$237,'REKAP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SUMIFS(RAB!$F$14:$F$237,RAB!$C$14:$C$237,'REKAP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SUMIFS(RAB!$F$14:$F$237,RAB!$C$14:$C$237,'REKAP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SUMIFS(RAB!$F$14:$F$237,RAB!$C$14:$C$237,'REKAP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SUMIFS(RAB!$F$14:$F$237,RAB!$C$14:$C$237,'REKAP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SUMIFS(RAB!$F$14:$F$237,RAB!$C$14:$C$237,'REKAP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SUMIFS(RAB!$F$14:$F$237,RAB!$C$14:$C$237,'REKAP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SUMIFS(RAB!$F$14:$F$237,RAB!$C$14:$C$237,'REKAP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SUMIFS(RAB!$F$14:$F$237,RAB!$C$14:$C$237,'REKAP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SUMIFS(RAB!$F$14:$F$237,RAB!$C$14:$C$237,'REKAP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6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6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3" t="s">
        <v>1034</v>
      </c>
      <c r="C4" s="543"/>
      <c r="D4" s="543"/>
      <c r="E4" s="543"/>
      <c r="F4" s="543"/>
      <c r="G4" s="543"/>
      <c r="H4" s="543"/>
      <c r="I4" s="543"/>
      <c r="J4" s="543"/>
      <c r="K4" s="54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PB EMI INDRAWATI 66KVA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TAMBIREJO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4" t="s">
        <v>0</v>
      </c>
      <c r="C11" s="546" t="s">
        <v>1</v>
      </c>
      <c r="D11" s="549" t="s">
        <v>42</v>
      </c>
      <c r="E11" s="549" t="s">
        <v>43</v>
      </c>
      <c r="F11" s="549" t="s">
        <v>2</v>
      </c>
      <c r="G11" s="550" t="s">
        <v>41</v>
      </c>
      <c r="H11" s="549" t="s">
        <v>3</v>
      </c>
      <c r="I11" s="549"/>
      <c r="J11" s="549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5"/>
      <c r="C12" s="547"/>
      <c r="D12" s="539"/>
      <c r="E12" s="539"/>
      <c r="F12" s="539"/>
      <c r="G12" s="551"/>
      <c r="H12" s="541" t="s">
        <v>46</v>
      </c>
      <c r="I12" s="541" t="s">
        <v>5</v>
      </c>
      <c r="J12" s="539" t="s">
        <v>47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5"/>
      <c r="C13" s="548"/>
      <c r="D13" s="539"/>
      <c r="E13" s="539"/>
      <c r="F13" s="539"/>
      <c r="G13" s="552"/>
      <c r="H13" s="542"/>
      <c r="I13" s="542"/>
      <c r="J13" s="539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66 kVA MCCB 100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Bh</v>
      </c>
      <c r="F21" s="101">
        <f t="shared" ca="1" si="6"/>
        <v>24</v>
      </c>
      <c r="G21" s="41">
        <f ca="1">IF(ISERROR(OFFSET('HARGA SATUAN'!$I$6,MATCH(C21,'HARGA SATUAN'!$C$7:$C$1495,0),0)),"",OFFSET('HARGA SATUAN'!$I$6,MATCH(C21,'HARGA SATUAN'!$C$7:$C$1495,0),0))</f>
        <v>235900</v>
      </c>
      <c r="H21" s="42">
        <f t="shared" ca="1" si="1"/>
        <v>5661600</v>
      </c>
      <c r="I21" s="42">
        <f t="shared" ca="1" si="2"/>
        <v>0</v>
      </c>
      <c r="J21" s="42">
        <f t="shared" ca="1" si="3"/>
        <v>0</v>
      </c>
      <c r="K21" s="43">
        <f t="shared" ca="1" si="0"/>
        <v>5661600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Tumpu ( Line Post ) 20 KV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Bh</v>
      </c>
      <c r="F22" s="101">
        <f t="shared" ca="1" si="6"/>
        <v>12</v>
      </c>
      <c r="G22" s="41">
        <f ca="1">IF(ISERROR(OFFSET('HARGA SATUAN'!$I$6,MATCH(C22,'HARGA SATUAN'!$C$7:$C$1495,0),0)),"",OFFSET('HARGA SATUAN'!$I$6,MATCH(C22,'HARGA SATUAN'!$C$7:$C$1495,0),0))</f>
        <v>176900</v>
      </c>
      <c r="H22" s="42">
        <f t="shared" ca="1" si="1"/>
        <v>2122800</v>
      </c>
      <c r="I22" s="42">
        <f t="shared" ca="1" si="2"/>
        <v>0</v>
      </c>
      <c r="J22" s="42">
        <f t="shared" ca="1" si="3"/>
        <v>0</v>
      </c>
      <c r="K22" s="43">
        <f t="shared" ca="1" si="0"/>
        <v>2122800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Isolator Tarik ( Porcelain ) 20 KV + Primary Dead End Clamp 70-150 mm²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Set</v>
      </c>
      <c r="F23" s="101">
        <f t="shared" ca="1" si="6"/>
        <v>1</v>
      </c>
      <c r="G23" s="41">
        <f ca="1">IF(ISERROR(OFFSET('HARGA SATUAN'!$I$6,MATCH(C23,'HARGA SATUAN'!$C$7:$C$1495,0),0)),"",OFFSET('HARGA SATUAN'!$I$6,MATCH(C23,'HARGA SATUAN'!$C$7:$C$1495,0),0))</f>
        <v>205700</v>
      </c>
      <c r="H23" s="42">
        <f t="shared" ca="1" si="1"/>
        <v>205700</v>
      </c>
      <c r="I23" s="42">
        <f t="shared" ca="1" si="2"/>
        <v>0</v>
      </c>
      <c r="J23" s="42">
        <f t="shared" ca="1" si="3"/>
        <v>0</v>
      </c>
      <c r="K23" s="43">
        <f t="shared" ca="1" si="0"/>
        <v>205700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AAAC 70 mm²</v>
      </c>
      <c r="D24" s="101" t="str">
        <f ca="1">IF(ISERROR(OFFSET('HARGA SATUAN'!$D$6,MATCH(C24,'HARGA SATUAN'!$C$7:$C$1495,0),0)),"",OFFSET('HARGA SATUAN'!$D$6,MATCH(C24,'HARGA SATUAN'!$C$7:$C$1495,0),0))</f>
        <v>MDU-KD</v>
      </c>
      <c r="E24" s="101" t="str">
        <f ca="1">IF(B24="+","Unit",IF(ISERROR(OFFSET('HARGA SATUAN'!$E$6,MATCH(C24,'HARGA SATUAN'!$C$7:$C$1495,0),0)),"",OFFSET('HARGA SATUAN'!$E$6,MATCH(C24,'HARGA SATUAN'!$C$7:$C$1495,0),0)))</f>
        <v>Mtr</v>
      </c>
      <c r="F24" s="101">
        <f t="shared" ca="1" si="6"/>
        <v>2889</v>
      </c>
      <c r="G24" s="41">
        <f ca="1">IF(ISERROR(OFFSET('HARGA SATUAN'!$I$6,MATCH(C24,'HARGA SATUAN'!$C$7:$C$1495,0),0)),"",OFFSET('HARGA SATUAN'!$I$6,MATCH(C24,'HARGA SATUAN'!$C$7:$C$1495,0),0))</f>
        <v>14200</v>
      </c>
      <c r="H24" s="42">
        <f t="shared" ca="1" si="1"/>
        <v>41023800</v>
      </c>
      <c r="I24" s="42">
        <f t="shared" ca="1" si="2"/>
        <v>0</v>
      </c>
      <c r="J24" s="42">
        <f t="shared" ca="1" si="3"/>
        <v>0</v>
      </c>
      <c r="K24" s="43">
        <f t="shared" ca="1" si="0"/>
        <v>41023800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NFA2X-T 3x70+1x70</v>
      </c>
      <c r="D25" s="101" t="str">
        <f ca="1">IF(ISERROR(OFFSET('HARGA SATUAN'!$D$6,MATCH(C25,'HARGA SATUAN'!$C$7:$C$1495,0),0)),"",OFFSET('HARGA SATUAN'!$D$6,MATCH(C25,'HARGA SATUAN'!$C$7:$C$1495,0),0))</f>
        <v>MDU-KD</v>
      </c>
      <c r="E25" s="101" t="str">
        <f ca="1">IF(B25="+","Unit",IF(ISERROR(OFFSET('HARGA SATUAN'!$E$6,MATCH(C25,'HARGA SATUAN'!$C$7:$C$1495,0),0)),"",OFFSET('HARGA SATUAN'!$E$6,MATCH(C25,'HARGA SATUAN'!$C$7:$C$1495,0),0)))</f>
        <v>Mtr</v>
      </c>
      <c r="F25" s="101">
        <f t="shared" ca="1" si="6"/>
        <v>580</v>
      </c>
      <c r="G25" s="41">
        <f ca="1">IF(ISERROR(OFFSET('HARGA SATUAN'!$I$6,MATCH(C25,'HARGA SATUAN'!$C$7:$C$1495,0),0)),"",OFFSET('HARGA SATUAN'!$I$6,MATCH(C25,'HARGA SATUAN'!$C$7:$C$1495,0),0))</f>
        <v>54500</v>
      </c>
      <c r="H25" s="42">
        <f t="shared" ca="1" si="1"/>
        <v>31610000</v>
      </c>
      <c r="I25" s="42">
        <f t="shared" ca="1" si="2"/>
        <v>0</v>
      </c>
      <c r="J25" s="42">
        <f t="shared" ca="1" si="3"/>
        <v>0</v>
      </c>
      <c r="K25" s="43">
        <f t="shared" ca="1" si="0"/>
        <v>31610000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7" t="s">
        <v>1008</v>
      </c>
      <c r="D168" s="537"/>
      <c r="E168" s="537"/>
      <c r="F168" s="537"/>
      <c r="G168" s="77" t="s">
        <v>9</v>
      </c>
      <c r="H168" s="55">
        <f ca="1">SUM(H14:H167)</f>
        <v>157333450</v>
      </c>
      <c r="I168" s="55">
        <f ca="1">SUM(I14:I167)</f>
        <v>0</v>
      </c>
      <c r="J168" s="55">
        <f ca="1">SUM(J14:J167)</f>
        <v>0</v>
      </c>
      <c r="K168" s="55">
        <f ca="1">SUM(K14:K167)</f>
        <v>157333450</v>
      </c>
      <c r="L168" s="44"/>
      <c r="R168" s="99"/>
      <c r="S168" s="99"/>
      <c r="T168" s="99"/>
    </row>
    <row r="169" spans="1:20" s="36" customFormat="1">
      <c r="A169" s="30"/>
      <c r="B169" s="56"/>
      <c r="C169" s="538" t="s">
        <v>462</v>
      </c>
      <c r="D169" s="538"/>
      <c r="E169" s="538"/>
      <c r="F169" s="538"/>
      <c r="G169" s="59" t="s">
        <v>9</v>
      </c>
      <c r="H169" s="60">
        <f ca="1">H168*0.1</f>
        <v>15733345</v>
      </c>
      <c r="I169" s="60">
        <f ca="1">I168*0.1</f>
        <v>0</v>
      </c>
      <c r="J169" s="60">
        <f ca="1">J168*0.1</f>
        <v>0</v>
      </c>
      <c r="K169" s="60">
        <f ca="1">K168*0.1</f>
        <v>15733345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7" t="s">
        <v>463</v>
      </c>
      <c r="D170" s="527"/>
      <c r="E170" s="527"/>
      <c r="F170" s="527"/>
      <c r="G170" s="61" t="s">
        <v>9</v>
      </c>
      <c r="H170" s="78">
        <f ca="1">SUM(H168:H169)</f>
        <v>173066795</v>
      </c>
      <c r="I170" s="78">
        <f ca="1">SUM(I168:I169)</f>
        <v>0</v>
      </c>
      <c r="J170" s="61">
        <f ca="1">SUM(J168:J169)</f>
        <v>0</v>
      </c>
      <c r="K170" s="61">
        <f ca="1">SUM(K168:K169)</f>
        <v>173066795</v>
      </c>
      <c r="L170" s="44"/>
      <c r="R170" s="99"/>
      <c r="S170" s="99"/>
      <c r="T170" s="99"/>
    </row>
    <row r="171" spans="1:20" s="36" customFormat="1">
      <c r="A171" s="30"/>
      <c r="B171" s="530" t="e">
        <f ca="1">"Terbilang : ( "&amp;L172&amp;" Rupiah )"</f>
        <v>#NAME?</v>
      </c>
      <c r="C171" s="531"/>
      <c r="D171" s="531"/>
      <c r="E171" s="531"/>
      <c r="F171" s="531"/>
      <c r="G171" s="531"/>
      <c r="H171" s="531"/>
      <c r="I171" s="531"/>
      <c r="J171" s="531"/>
      <c r="K171" s="532"/>
      <c r="L171" s="44"/>
      <c r="R171" s="58"/>
      <c r="S171" s="58"/>
      <c r="T171" s="58"/>
    </row>
    <row r="172" spans="1:20" s="36" customFormat="1">
      <c r="A172" s="30"/>
      <c r="B172" s="533"/>
      <c r="C172" s="534"/>
      <c r="D172" s="534"/>
      <c r="E172" s="534"/>
      <c r="F172" s="534"/>
      <c r="G172" s="534"/>
      <c r="H172" s="534"/>
      <c r="I172" s="534"/>
      <c r="J172" s="534"/>
      <c r="K172" s="53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8"/>
      <c r="I175" s="528"/>
      <c r="J175" s="529"/>
      <c r="K175" s="52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8"/>
      <c r="I176" s="528"/>
      <c r="J176" s="529"/>
      <c r="K176" s="52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8"/>
      <c r="I177" s="528"/>
      <c r="J177" s="529"/>
      <c r="K177" s="52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8"/>
      <c r="I182" s="528"/>
      <c r="J182" s="529"/>
      <c r="K182" s="52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SUMIFS(RAB!$F$14:$F$237,RAB!$C$14:$C$237,C224)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SUMIFS(RAB!$F$14:$F$237,RAB!$C$14:$C$237,C225)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SUMIFS(RAB!$F$14:$F$237,RAB!$C$14:$C$237,C226)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SUMIFS(RAB!$F$14:$F$237,RAB!$C$14:$C$237,C227)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SUMIFS(RAB!$F$14:$F$237,RAB!$C$14:$C$237,C228)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SUMIFS(RAB!$F$14:$F$237,RAB!$C$14:$C$237,C229)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SUMIFS(RAB!$F$14:$F$237,RAB!$C$14:$C$237,C230)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SUMIFS(RAB!$F$14:$F$237,RAB!$C$14:$C$237,C231)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SUMIFS(RAB!$F$14:$F$237,RAB!$C$14:$C$237,C232)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SUMIFS(RAB!$F$14:$F$237,RAB!$C$14:$C$237,C233)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SUMIFS(RAB!$F$14:$F$237,RAB!$C$14:$C$237,C234)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SUMIFS(RAB!$F$14:$F$237,RAB!$C$14:$C$237,C235)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SUMIFS(RAB!$F$14:$F$237,RAB!$C$14:$C$237,C236)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SUMIFS(RAB!$F$14:$F$237,RAB!$C$14:$C$237,C237)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SUMIFS(RAB!$F$14:$F$237,RAB!$C$14:$C$237,C238)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SUMIFS(RAB!$F$14:$F$237,RAB!$C$14:$C$237,C239)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SUMIFS(RAB!$F$14:$F$237,RAB!$C$14:$C$237,C240)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SUMIFS(RAB!$F$14:$F$237,RAB!$C$14:$C$237,C241)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SUMIFS(RAB!$F$14:$F$237,RAB!$C$14:$C$237,C242)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SUMIFS(RAB!$F$14:$F$237,RAB!$C$14:$C$237,C243)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SUMIFS(RAB!$F$14:$F$237,RAB!$C$14:$C$237,C244)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SUMIFS(RAB!$F$14:$F$237,RAB!$C$14:$C$237,C245)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SUMIFS(RAB!$F$14:$F$237,RAB!$C$14:$C$237,C246)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SUMIFS(RAB!$F$14:$F$237,RAB!$C$14:$C$237,C247)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SUMIFS(RAB!$F$14:$F$237,RAB!$C$14:$C$237,C248)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SUMIFS(RAB!$F$14:$F$237,RAB!$C$14:$C$237,C249)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SUMIFS(RAB!$F$14:$F$237,RAB!$C$14:$C$237,C250)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SUMIFS(RAB!$F$14:$F$237,RAB!$C$14:$C$237,C251)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SUMIFS(RAB!$F$14:$F$237,RAB!$C$14:$C$237,C252)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SUMIFS(RAB!$F$14:$F$237,RAB!$C$14:$C$237,C253)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SUMIFS(RAB!$F$14:$F$237,RAB!$C$14:$C$237,C254)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SUMIFS(RAB!$F$14:$F$237,RAB!$C$14:$C$237,C255)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SUMIFS(RAB!$F$14:$F$237,RAB!$C$14:$C$237,C256)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SUMIFS(RAB!$F$14:$F$237,RAB!$C$14:$C$237,C257)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SUMIFS(RAB!$F$14:$F$237,RAB!$C$14:$C$237,C258)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SUMIFS(RAB!$F$14:$F$237,RAB!$C$14:$C$237,C259)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SUMIFS(RAB!$F$14:$F$237,RAB!$C$14:$C$237,C260)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SUMIFS(RAB!$F$14:$F$237,RAB!$C$14:$C$237,C261)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SUMIFS(RAB!$F$14:$F$237,RAB!$C$14:$C$237,C262)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SUMIFS(RAB!$F$14:$F$237,RAB!$C$14:$C$237,C263)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SUMIFS(RAB!$F$14:$F$237,RAB!$C$14:$C$237,C264)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SUMIFS(RAB!$F$14:$F$237,RAB!$C$14:$C$237,C265)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SUMIFS(RAB!$F$14:$F$237,RAB!$C$14:$C$237,C266)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SUMIFS(RAB!$F$14:$F$237,RAB!$C$14:$C$237,C267)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SUMIFS(RAB!$F$14:$F$237,RAB!$C$14:$C$237,C268)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SUMIFS(RAB!$F$14:$F$237,RAB!$C$14:$C$237,C269)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SUMIFS(RAB!$F$14:$F$237,RAB!$C$14:$C$237,C270)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SUMIFS(RAB!$F$14:$F$237,RAB!$C$14:$C$237,C271)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SUMIFS(RAB!$F$14:$F$237,RAB!$C$14:$C$237,C272)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SUMIFS(RAB!$F$14:$F$237,RAB!$C$14:$C$237,C273)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SUMIFS(RAB!$F$14:$F$237,RAB!$C$14:$C$237,C274)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SUMIFS(RAB!$F$14:$F$237,RAB!$C$14:$C$237,C275)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SUMIFS(RAB!$F$14:$F$237,RAB!$C$14:$C$237,C276)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SUMIFS(RAB!$F$14:$F$237,RAB!$C$14:$C$237,C277)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SUMIFS(RAB!$F$14:$F$237,RAB!$C$14:$C$237,C278)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SUMIFS(RAB!$F$14:$F$237,RAB!$C$14:$C$237,C279)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SUMIFS(RAB!$F$14:$F$237,RAB!$C$14:$C$237,C280)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SUMIFS(RAB!$F$14:$F$237,RAB!$C$14:$C$237,C281)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SUMIFS(RAB!$F$14:$F$237,RAB!$C$14:$C$237,C282)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SUMIFS(RAB!$F$14:$F$237,RAB!$C$14:$C$237,C283)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SUMIFS(RAB!$F$14:$F$237,RAB!$C$14:$C$237,C284)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SUMIFS(RAB!$F$14:$F$237,RAB!$C$14:$C$237,C285)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SUMIFS(RAB!$F$14:$F$237,RAB!$C$14:$C$237,C286)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SUMIFS(RAB!$F$14:$F$237,RAB!$C$14:$C$237,C287)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SUMIFS(RAB!$F$14:$F$237,RAB!$C$14:$C$237,C288)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SUMIFS(RAB!$F$14:$F$237,RAB!$C$14:$C$237,C289)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SUMIFS(RAB!$F$14:$F$237,RAB!$C$14:$C$237,C290)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SUMIFS(RAB!$F$14:$F$237,RAB!$C$14:$C$237,C291)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SUMIFS(RAB!$F$14:$F$237,RAB!$C$14:$C$237,C292)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SUMIFS(RAB!$F$14:$F$237,RAB!$C$14:$C$237,C293)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SUMIFS(RAB!$F$14:$F$237,RAB!$C$14:$C$237,C294)</f>
        <v>1</v>
      </c>
      <c r="E294" s="24">
        <f t="shared" ca="1" si="22"/>
        <v>1</v>
      </c>
      <c r="F294" s="24">
        <f ca="1">IF(D294=0,0,SUM($E$223:E294))</f>
        <v>2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SUMIFS(RAB!$F$14:$F$237,RAB!$C$14:$C$237,C295)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SUMIFS(RAB!$F$14:$F$237,RAB!$C$14:$C$237,C296)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SUMIFS(RAB!$F$14:$F$237,RAB!$C$14:$C$237,C297)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SUMIFS(RAB!$F$14:$F$237,RAB!$C$14:$C$237,C298)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SUMIFS(RAB!$F$14:$F$237,RAB!$C$14:$C$237,C299)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SUMIFS(RAB!$F$14:$F$237,RAB!$C$14:$C$237,C300)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SUMIFS(RAB!$F$14:$F$237,RAB!$C$14:$C$237,C301)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SUMIFS(RAB!$F$14:$F$237,RAB!$C$14:$C$237,C302)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SUMIFS(RAB!$F$14:$F$237,RAB!$C$14:$C$237,C303)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SUMIFS(RAB!$F$14:$F$237,RAB!$C$14:$C$237,C304)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SUMIFS(RAB!$F$14:$F$237,RAB!$C$14:$C$237,C305)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SUMIFS(RAB!$F$14:$F$237,RAB!$C$14:$C$237,C306)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SUMIFS(RAB!$F$14:$F$237,RAB!$C$14:$C$237,C307)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SUMIFS(RAB!$F$14:$F$237,RAB!$C$14:$C$237,C308)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SUMIFS(RAB!$F$14:$F$237,RAB!$C$14:$C$237,C309)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SUMIFS(RAB!$F$14:$F$237,RAB!$C$14:$C$237,C310)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SUMIFS(RAB!$F$14:$F$237,RAB!$C$14:$C$237,C311)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SUMIFS(RAB!$F$14:$F$237,RAB!$C$14:$C$237,C312)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SUMIFS(RAB!$F$14:$F$237,RAB!$C$14:$C$237,C313)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SUMIFS(RAB!$F$14:$F$237,RAB!$C$14:$C$237,C314)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SUMIFS(RAB!$F$14:$F$237,RAB!$C$14:$C$237,C315)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SUMIFS(RAB!$F$14:$F$237,RAB!$C$14:$C$237,C316)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SUMIFS(RAB!$F$14:$F$237,RAB!$C$14:$C$237,C317)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SUMIFS(RAB!$F$14:$F$237,RAB!$C$14:$C$237,C318)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SUMIFS(RAB!$F$14:$F$237,RAB!$C$14:$C$237,C319)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SUMIFS(RAB!$F$14:$F$237,RAB!$C$14:$C$237,C320)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SUMIFS(RAB!$F$14:$F$237,RAB!$C$14:$C$237,C321)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SUMIFS(RAB!$F$14:$F$237,RAB!$C$14:$C$237,C322)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SUMIFS(RAB!$F$14:$F$237,RAB!$C$14:$C$237,C323)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SUMIFS(RAB!$F$14:$F$237,RAB!$C$14:$C$237,C324)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SUMIFS(RAB!$F$14:$F$237,RAB!$C$14:$C$237,C325)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SUMIFS(RAB!$F$14:$F$237,RAB!$C$14:$C$237,C326)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SUMIFS(RAB!$F$14:$F$237,RAB!$C$14:$C$237,C327)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SUMIFS(RAB!$F$14:$F$237,RAB!$C$14:$C$237,C328)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SUMIFS(RAB!$F$14:$F$237,RAB!$C$14:$C$237,C329)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SUMIFS(RAB!$F$14:$F$237,RAB!$C$14:$C$237,C330)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SUMIFS(RAB!$F$14:$F$237,RAB!$C$14:$C$237,C331)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SUMIFS(RAB!$F$14:$F$237,RAB!$C$14:$C$237,C332)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SUMIFS(RAB!$F$14:$F$237,RAB!$C$14:$C$237,C333)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SUMIFS(RAB!$F$14:$F$237,RAB!$C$14:$C$237,C334)</f>
        <v>24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SUMIFS(RAB!$F$14:$F$237,RAB!$C$14:$C$237,C335)</f>
        <v>12</v>
      </c>
      <c r="E335" s="24">
        <f t="shared" ca="1" si="22"/>
        <v>1</v>
      </c>
      <c r="F335" s="24">
        <f ca="1">IF(D335=0,0,SUM($E$223:E335))</f>
        <v>7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SUMIFS(RAB!$F$14:$F$237,RAB!$C$14:$C$237,C336)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SUMIFS(RAB!$F$14:$F$237,RAB!$C$14:$C$237,C337)</f>
        <v>1</v>
      </c>
      <c r="E337" s="24">
        <f t="shared" ca="1" si="22"/>
        <v>1</v>
      </c>
      <c r="F337" s="24">
        <f ca="1">IF(D337=0,0,SUM($E$223:E337))</f>
        <v>8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SUMIFS(RAB!$F$14:$F$237,RAB!$C$14:$C$237,C338)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SUMIFS(RAB!$F$14:$F$237,RAB!$C$14:$C$237,C339)</f>
        <v>2889</v>
      </c>
      <c r="E339" s="24">
        <f t="shared" ca="1" si="22"/>
        <v>1</v>
      </c>
      <c r="F339" s="24">
        <f ca="1">IF(D339=0,0,SUM($E$223:E339))</f>
        <v>9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SUMIFS(RAB!$F$14:$F$237,RAB!$C$14:$C$237,C340)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SUMIFS(RAB!$F$14:$F$237,RAB!$C$14:$C$237,C341)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SUMIFS(RAB!$F$14:$F$237,RAB!$C$14:$C$237,C342)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SUMIFS(RAB!$F$14:$F$237,RAB!$C$14:$C$237,C343)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SUMIFS(RAB!$F$14:$F$237,RAB!$C$14:$C$237,C344)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SUMIFS(RAB!$F$14:$F$237,RAB!$C$14:$C$237,C345)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SUMIFS(RAB!$F$14:$F$237,RAB!$C$14:$C$237,C346)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SUMIFS(RAB!$F$14:$F$237,RAB!$C$14:$C$237,C347)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SUMIFS(RAB!$F$14:$F$237,RAB!$C$14:$C$237,C348)</f>
        <v>580</v>
      </c>
      <c r="E348" s="24">
        <f t="shared" ca="1" si="22"/>
        <v>1</v>
      </c>
      <c r="F348" s="24">
        <f ca="1">IF(D348=0,0,SUM($E$223:E348))</f>
        <v>10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SUMIFS(RAB!$F$14:$F$237,RAB!$C$14:$C$237,C349)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SUMIFS(RAB!$F$14:$F$237,RAB!$C$14:$C$237,C350)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SUMIFS(RAB!$F$14:$F$237,RAB!$C$14:$C$237,C351)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SUMIFS(RAB!$F$14:$F$237,RAB!$C$14:$C$237,C352)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SUMIFS(RAB!$F$14:$F$237,RAB!$C$14:$C$237,C353)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SUMIFS(RAB!$F$14:$F$237,RAB!$C$14:$C$237,C354)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SUMIFS(RAB!$F$14:$F$237,RAB!$C$14:$C$237,C355)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SUMIFS(RAB!$F$14:$F$237,RAB!$C$14:$C$237,C356)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SUMIFS(RAB!$F$14:$F$237,RAB!$C$14:$C$237,C357)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SUMIFS(RAB!$F$14:$F$237,RAB!$C$14:$C$237,C358)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SUMIFS(RAB!$F$14:$F$237,RAB!$C$14:$C$237,C359)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SUMIFS(RAB!$F$14:$F$237,RAB!$C$14:$C$237,C360)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SUMIFS(RAB!$F$14:$F$237,RAB!$C$14:$C$237,C361)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SUMIFS(RAB!$F$14:$F$237,RAB!$C$14:$C$237,C362)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SUMIFS(RAB!$F$14:$F$237,RAB!$C$14:$C$237,C363)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SUMIFS(RAB!$F$14:$F$237,RAB!$C$14:$C$237,C364)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SUMIFS(RAB!$F$14:$F$237,RAB!$C$14:$C$237,C365)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SUMIFS(RAB!$F$14:$F$237,RAB!$C$14:$C$237,C366)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SUMIFS(RAB!$F$14:$F$237,RAB!$C$14:$C$237,C367)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SUMIFS(RAB!$F$14:$F$237,RAB!$C$14:$C$237,C368)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SUMIFS(RAB!$F$14:$F$237,RAB!$C$14:$C$237,C369)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SUMIFS(RAB!$F$14:$F$237,RAB!$C$14:$C$237,C370)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SUMIFS(RAB!$F$14:$F$237,RAB!$C$14:$C$237,C371)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SUMIFS(RAB!$F$14:$F$237,RAB!$C$14:$C$237,C372)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SUMIFS(RAB!$F$14:$F$237,RAB!$C$14:$C$237,C373)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64" priority="5" operator="equal">
      <formula>0</formula>
    </cfRule>
  </conditionalFormatting>
  <conditionalFormatting sqref="C16:C165">
    <cfRule type="cellIs" dxfId="63" priority="4" stopIfTrue="1" operator="equal">
      <formula>0</formula>
    </cfRule>
  </conditionalFormatting>
  <conditionalFormatting sqref="C16:E165">
    <cfRule type="cellIs" dxfId="62" priority="1" operator="equal">
      <formula>0</formula>
    </cfRule>
  </conditionalFormatting>
  <conditionalFormatting sqref="D224:F373">
    <cfRule type="cellIs" dxfId="61" priority="8" operator="equal">
      <formula>0</formula>
    </cfRule>
  </conditionalFormatting>
  <conditionalFormatting sqref="E1:E3 G1:G115 E6:E15 H12:I12 N13 F14:F15 H14:K115 E166:K166 G166:G223 E167:F167 H167:K167">
    <cfRule type="cellIs" dxfId="60" priority="43" stopIfTrue="1" operator="equal">
      <formula>0</formula>
    </cfRule>
  </conditionalFormatting>
  <conditionalFormatting sqref="E171:E65536">
    <cfRule type="cellIs" dxfId="59" priority="9" stopIfTrue="1" operator="equal">
      <formula>0</formula>
    </cfRule>
  </conditionalFormatting>
  <conditionalFormatting sqref="G224">
    <cfRule type="cellIs" dxfId="58" priority="10" operator="equal">
      <formula>0</formula>
    </cfRule>
  </conditionalFormatting>
  <conditionalFormatting sqref="G225:G65536">
    <cfRule type="cellIs" dxfId="57" priority="14" stopIfTrue="1" operator="equal">
      <formula>0</formula>
    </cfRule>
  </conditionalFormatting>
  <conditionalFormatting sqref="R14:T166 G116:K165">
    <cfRule type="cellIs" dxfId="5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103" activePane="bottomRight" state="frozen"/>
      <selection activeCell="D209" sqref="D209"/>
      <selection pane="topRight" activeCell="D209" sqref="D209"/>
      <selection pane="bottomLeft" activeCell="D209" sqref="D209"/>
      <selection pane="bottomRight" activeCell="C1114" sqref="C111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5" t="s">
        <v>41</v>
      </c>
      <c r="C2" s="55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6" t="s">
        <v>23</v>
      </c>
      <c r="C4" s="557" t="s">
        <v>1012</v>
      </c>
      <c r="D4" s="557" t="s">
        <v>42</v>
      </c>
      <c r="E4" s="556" t="s">
        <v>43</v>
      </c>
      <c r="F4" s="108" t="s">
        <v>1599</v>
      </c>
      <c r="G4" s="108" t="s">
        <v>1598</v>
      </c>
      <c r="H4" s="554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6"/>
      <c r="C5" s="557"/>
      <c r="D5" s="557"/>
      <c r="E5" s="556"/>
      <c r="F5" s="93"/>
      <c r="G5" s="93"/>
      <c r="H5" s="554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55" priority="4" operator="equal">
      <formula>0</formula>
    </cfRule>
  </conditionalFormatting>
  <conditionalFormatting sqref="B217 D217:G217">
    <cfRule type="cellIs" dxfId="54" priority="11" operator="equal">
      <formula>0</formula>
    </cfRule>
  </conditionalFormatting>
  <conditionalFormatting sqref="B8:C135">
    <cfRule type="cellIs" dxfId="53" priority="66" operator="equal">
      <formula>0</formula>
    </cfRule>
  </conditionalFormatting>
  <conditionalFormatting sqref="B216:G216">
    <cfRule type="cellIs" dxfId="52" priority="16" operator="equal">
      <formula>0</formula>
    </cfRule>
  </conditionalFormatting>
  <conditionalFormatting sqref="B218:G1496">
    <cfRule type="cellIs" dxfId="51" priority="1" operator="equal">
      <formula>0</formula>
    </cfRule>
  </conditionalFormatting>
  <conditionalFormatting sqref="C143:G149">
    <cfRule type="cellIs" dxfId="50" priority="20" operator="equal">
      <formula>0</formula>
    </cfRule>
  </conditionalFormatting>
  <conditionalFormatting sqref="D9:G142">
    <cfRule type="cellIs" dxfId="49" priority="26" operator="equal">
      <formula>0</formula>
    </cfRule>
  </conditionalFormatting>
  <conditionalFormatting sqref="D1:IV5 A1:C7 D6:K6 H1458:IV1460 H1461:XFD1488 H1489:H1496 I1489:XFD1497 A1497:H1497 A1498:XFD65539">
    <cfRule type="cellIs" dxfId="48" priority="178" operator="equal">
      <formula>0</formula>
    </cfRule>
  </conditionalFormatting>
  <conditionalFormatting sqref="D7:IV8 C136:C142 B136:B149 B150:G213 B214:B215 D214:G215">
    <cfRule type="cellIs" dxfId="47" priority="77" operator="equal">
      <formula>0</formula>
    </cfRule>
  </conditionalFormatting>
  <conditionalFormatting sqref="H9:H1421">
    <cfRule type="cellIs" dxfId="46" priority="3" operator="equal">
      <formula>0</formula>
    </cfRule>
  </conditionalFormatting>
  <conditionalFormatting sqref="H1422:I1457">
    <cfRule type="cellIs" dxfId="45" priority="143" operator="equal">
      <formula>0</formula>
    </cfRule>
  </conditionalFormatting>
  <conditionalFormatting sqref="I108:I1421">
    <cfRule type="cellIs" dxfId="44" priority="2" operator="equal">
      <formula>0</formula>
    </cfRule>
  </conditionalFormatting>
  <conditionalFormatting sqref="I9:IV107">
    <cfRule type="cellIs" dxfId="43" priority="153" operator="equal">
      <formula>0</formula>
    </cfRule>
  </conditionalFormatting>
  <conditionalFormatting sqref="J108:IV1457">
    <cfRule type="cellIs" dxfId="42" priority="5" operator="equal">
      <formula>0</formula>
    </cfRule>
  </conditionalFormatting>
  <conditionalFormatting sqref="M6:IV6">
    <cfRule type="cellIs" dxfId="41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abSelected="1" zoomScale="55" zoomScaleNormal="55" zoomScaleSheetLayoutView="85" workbookViewId="0">
      <selection activeCell="O8" sqref="O8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2" t="s">
        <v>1453</v>
      </c>
      <c r="C2" s="562"/>
      <c r="D2" s="562"/>
      <c r="E2" s="562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7" t="s">
        <v>1528</v>
      </c>
      <c r="C4" s="568"/>
      <c r="D4" s="568"/>
      <c r="E4" s="569"/>
      <c r="F4" s="373"/>
      <c r="G4" s="373"/>
      <c r="H4" s="374"/>
      <c r="I4" s="594" t="s">
        <v>1529</v>
      </c>
      <c r="J4" s="595"/>
      <c r="K4" s="595"/>
      <c r="L4" s="596"/>
    </row>
    <row r="5" spans="1:12" ht="34.5" customHeight="1">
      <c r="A5" s="193"/>
      <c r="B5" s="376" t="s">
        <v>1378</v>
      </c>
      <c r="C5" s="224" t="s">
        <v>9</v>
      </c>
      <c r="D5" s="563" t="str">
        <f>DATA!D14</f>
        <v>PB EMI INDRAWATI 66KVA</v>
      </c>
      <c r="E5" s="564"/>
      <c r="F5" s="197"/>
      <c r="G5" s="197"/>
      <c r="I5" s="377" t="s">
        <v>1378</v>
      </c>
      <c r="J5" s="224" t="s">
        <v>9</v>
      </c>
      <c r="K5" s="597" t="str">
        <f>D5</f>
        <v>PB EMI INDRAWATI 66KVA</v>
      </c>
      <c r="L5" s="598"/>
    </row>
    <row r="6" spans="1:12" ht="31.5" customHeight="1">
      <c r="A6" s="193"/>
      <c r="B6" s="376" t="s">
        <v>1525</v>
      </c>
      <c r="C6" s="224" t="s">
        <v>9</v>
      </c>
      <c r="D6" s="572">
        <f>DATA!D17*1000</f>
        <v>0</v>
      </c>
      <c r="E6" s="573"/>
      <c r="F6" s="197"/>
      <c r="G6" s="197"/>
      <c r="I6" s="377" t="s">
        <v>1526</v>
      </c>
      <c r="J6" s="224" t="s">
        <v>9</v>
      </c>
      <c r="K6" s="599">
        <f>DATA!D20*1000</f>
        <v>66000</v>
      </c>
      <c r="L6" s="600"/>
    </row>
    <row r="7" spans="1:12" ht="30.75" customHeight="1">
      <c r="A7" s="193"/>
      <c r="B7" s="376" t="s">
        <v>1440</v>
      </c>
      <c r="C7" s="224" t="s">
        <v>9</v>
      </c>
      <c r="D7" s="570">
        <f>DATA!D18</f>
        <v>1</v>
      </c>
      <c r="E7" s="571"/>
      <c r="F7" s="375" t="s">
        <v>1452</v>
      </c>
      <c r="I7" s="377" t="s">
        <v>1440</v>
      </c>
      <c r="J7" s="224" t="s">
        <v>9</v>
      </c>
      <c r="K7" s="601">
        <f>DATA!D21</f>
        <v>3</v>
      </c>
      <c r="L7" s="602"/>
    </row>
    <row r="8" spans="1:12" ht="51" customHeight="1">
      <c r="A8" s="193"/>
      <c r="B8" s="376" t="s">
        <v>1441</v>
      </c>
      <c r="C8" s="224" t="s">
        <v>9</v>
      </c>
      <c r="D8" s="570">
        <f>DATA!D19</f>
        <v>220</v>
      </c>
      <c r="E8" s="571"/>
      <c r="F8" s="375" t="s">
        <v>1452</v>
      </c>
      <c r="G8" s="370">
        <v>220</v>
      </c>
      <c r="I8" s="377" t="s">
        <v>1441</v>
      </c>
      <c r="J8" s="224" t="s">
        <v>9</v>
      </c>
      <c r="K8" s="601">
        <f>DATA!D22</f>
        <v>380</v>
      </c>
      <c r="L8" s="602"/>
    </row>
    <row r="9" spans="1:12" ht="30" customHeight="1" thickBot="1">
      <c r="A9" s="193"/>
      <c r="B9" s="382" t="s">
        <v>1537</v>
      </c>
      <c r="C9" s="372" t="s">
        <v>9</v>
      </c>
      <c r="D9" s="565">
        <f>IF(D7=1,D6/(380/3^0.5),(D6/(380*3^0.5)))</f>
        <v>0</v>
      </c>
      <c r="E9" s="566"/>
      <c r="F9" s="196"/>
      <c r="G9" s="371">
        <v>380</v>
      </c>
      <c r="I9" s="383" t="s">
        <v>1537</v>
      </c>
      <c r="J9" s="372" t="s">
        <v>9</v>
      </c>
      <c r="K9" s="603">
        <f>IF(K7=1,K6/(380/3^0.5),(K6/(380*3^0.5)))</f>
        <v>100.27662570135607</v>
      </c>
      <c r="L9" s="604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74"/>
      <c r="E12" s="575"/>
      <c r="F12" s="197"/>
      <c r="G12" s="197"/>
      <c r="I12" s="399" t="s">
        <v>1530</v>
      </c>
      <c r="J12" s="400" t="s">
        <v>9</v>
      </c>
      <c r="K12" s="574" t="s">
        <v>1631</v>
      </c>
      <c r="L12" s="575"/>
    </row>
    <row r="13" spans="1:12" ht="31.5" customHeight="1">
      <c r="A13" s="193"/>
      <c r="B13" s="407" t="s">
        <v>1379</v>
      </c>
      <c r="C13" s="387" t="s">
        <v>9</v>
      </c>
      <c r="D13" s="578"/>
      <c r="E13" s="579"/>
      <c r="F13" s="197"/>
      <c r="G13" s="197"/>
      <c r="I13" s="401" t="s">
        <v>1379</v>
      </c>
      <c r="J13" s="387" t="s">
        <v>9</v>
      </c>
      <c r="K13" s="578" t="s">
        <v>1630</v>
      </c>
      <c r="L13" s="579"/>
    </row>
    <row r="14" spans="1:12" ht="30.75" customHeight="1">
      <c r="A14" s="193"/>
      <c r="B14" s="407" t="s">
        <v>1531</v>
      </c>
      <c r="C14" s="387" t="s">
        <v>9</v>
      </c>
      <c r="D14" s="586"/>
      <c r="E14" s="587"/>
      <c r="F14" s="375" t="s">
        <v>1452</v>
      </c>
      <c r="G14" s="379">
        <v>50</v>
      </c>
      <c r="I14" s="401" t="s">
        <v>1531</v>
      </c>
      <c r="J14" s="387" t="s">
        <v>9</v>
      </c>
      <c r="K14" s="588">
        <v>100</v>
      </c>
      <c r="L14" s="589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90">
        <v>0</v>
      </c>
      <c r="E16" s="591"/>
      <c r="F16" s="375"/>
      <c r="G16" s="379">
        <v>160</v>
      </c>
      <c r="I16" s="401" t="s">
        <v>1533</v>
      </c>
      <c r="J16" s="387" t="s">
        <v>9</v>
      </c>
      <c r="K16" s="592">
        <f>K9</f>
        <v>100.27662570135607</v>
      </c>
      <c r="L16" s="593"/>
    </row>
    <row r="17" spans="1:12" ht="34.5" customHeight="1">
      <c r="A17" s="193"/>
      <c r="B17" s="407" t="s">
        <v>1534</v>
      </c>
      <c r="C17" s="387" t="s">
        <v>9</v>
      </c>
      <c r="D17" s="580">
        <f>IF(D15=1,D14/(20/3^0.5),(D14/(20*3^0.5)))</f>
        <v>0</v>
      </c>
      <c r="E17" s="581"/>
      <c r="F17" s="375" t="s">
        <v>1452</v>
      </c>
      <c r="G17" s="380">
        <v>200</v>
      </c>
      <c r="I17" s="401" t="s">
        <v>1534</v>
      </c>
      <c r="J17" s="387" t="s">
        <v>9</v>
      </c>
      <c r="K17" s="584">
        <f>IF(K15=1,K14/(20/3^0.5),(K14/(20*3^0.5)))</f>
        <v>2.8867513459481291</v>
      </c>
      <c r="L17" s="585"/>
    </row>
    <row r="18" spans="1:12" ht="34.5" customHeight="1">
      <c r="A18" s="193"/>
      <c r="B18" s="407" t="s">
        <v>1535</v>
      </c>
      <c r="C18" s="387" t="s">
        <v>9</v>
      </c>
      <c r="D18" s="580">
        <f>IF(D15=1,D14/(380/3^0.5),(D14/(380*3^0.5)))*1000</f>
        <v>0</v>
      </c>
      <c r="E18" s="581"/>
      <c r="F18" s="375" t="s">
        <v>1452</v>
      </c>
      <c r="G18" s="380">
        <v>250</v>
      </c>
      <c r="I18" s="401" t="s">
        <v>1535</v>
      </c>
      <c r="J18" s="387" t="s">
        <v>9</v>
      </c>
      <c r="K18" s="584">
        <f>IF(K15=1,K14/(380/3^0.5),(K14/(380*3^0.5)))*1000</f>
        <v>151.93428136569102</v>
      </c>
      <c r="L18" s="585"/>
    </row>
    <row r="19" spans="1:12" ht="30" customHeight="1">
      <c r="A19" s="193"/>
      <c r="B19" s="408" t="s">
        <v>1527</v>
      </c>
      <c r="C19" s="386" t="s">
        <v>9</v>
      </c>
      <c r="D19" s="580">
        <f>IF(D15=1,D14/(380/3^0.5),(D14/(380*3^0.5)))</f>
        <v>0</v>
      </c>
      <c r="E19" s="581"/>
      <c r="F19" s="196"/>
      <c r="G19" s="371"/>
      <c r="I19" s="403" t="s">
        <v>1527</v>
      </c>
      <c r="J19" s="386" t="s">
        <v>9</v>
      </c>
      <c r="K19" s="584">
        <f>IF(K15=1,K14/(380/3^0.5),(K14/(380*3^0.5)))</f>
        <v>0.15193428136569101</v>
      </c>
      <c r="L19" s="585"/>
    </row>
    <row r="20" spans="1:12" ht="30" customHeight="1" thickBot="1">
      <c r="A20" s="193"/>
      <c r="B20" s="409" t="s">
        <v>1536</v>
      </c>
      <c r="C20" s="405" t="s">
        <v>9</v>
      </c>
      <c r="D20" s="576" t="e">
        <f>D16/D18</f>
        <v>#DIV/0!</v>
      </c>
      <c r="E20" s="577"/>
      <c r="F20" s="196"/>
      <c r="G20" s="371"/>
      <c r="I20" s="404" t="s">
        <v>1527</v>
      </c>
      <c r="J20" s="405" t="s">
        <v>9</v>
      </c>
      <c r="K20" s="582">
        <f>K16/K18</f>
        <v>0.65999999999999992</v>
      </c>
      <c r="L20" s="583"/>
    </row>
    <row r="21" spans="1:12" ht="9.75" customHeight="1">
      <c r="A21" s="193"/>
      <c r="B21" s="394" t="s">
        <v>1536</v>
      </c>
      <c r="C21" s="395" t="s">
        <v>9</v>
      </c>
      <c r="D21" s="561">
        <v>1</v>
      </c>
      <c r="E21" s="561"/>
      <c r="F21" s="396"/>
      <c r="G21" s="397"/>
      <c r="H21" s="398"/>
      <c r="I21" s="394" t="s">
        <v>1527</v>
      </c>
      <c r="J21" s="395" t="s">
        <v>9</v>
      </c>
      <c r="K21" s="561">
        <v>1</v>
      </c>
      <c r="L21" s="561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58"/>
      <c r="C24" s="559"/>
      <c r="D24" s="559"/>
      <c r="E24" s="560"/>
      <c r="I24" s="558"/>
      <c r="J24" s="559"/>
      <c r="K24" s="559"/>
      <c r="L24" s="560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40" priority="5" stopIfTrue="1" operator="greaterThan">
      <formula>0.89</formula>
    </cfRule>
    <cfRule type="cellIs" dxfId="3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3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5"/>
      <c r="C1" s="605"/>
      <c r="D1" s="605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66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63954000</v>
      </c>
    </row>
    <row r="10" spans="2:11" ht="20.100000000000001" customHeight="1">
      <c r="B10" s="238" t="s">
        <v>1445</v>
      </c>
      <c r="C10" s="239" t="s">
        <v>9</v>
      </c>
      <c r="D10" s="245">
        <f ca="1">RAB!K243</f>
        <v>258760919.18125001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5175218.3836249998</v>
      </c>
    </row>
    <row r="12" spans="2:11" ht="9" customHeight="1">
      <c r="B12" s="606"/>
      <c r="C12" s="606"/>
      <c r="D12" s="606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EMI INDRAWATI 66KVA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1629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/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66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7" t="s">
        <v>1356</v>
      </c>
      <c r="C3" s="607"/>
      <c r="D3" s="607"/>
      <c r="E3" s="607"/>
      <c r="F3" s="252" t="str">
        <f>DATA!D14</f>
        <v>PB EMI INDRAWATI 66KVA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8" t="s">
        <v>1348</v>
      </c>
      <c r="C5" s="608" t="s">
        <v>1357</v>
      </c>
      <c r="D5" s="609" t="s">
        <v>1358</v>
      </c>
      <c r="E5" s="609" t="s">
        <v>1359</v>
      </c>
      <c r="F5" s="608" t="s">
        <v>1360</v>
      </c>
      <c r="G5" s="608"/>
      <c r="H5" s="608"/>
      <c r="I5" s="608"/>
      <c r="J5" s="608"/>
      <c r="K5" s="608" t="s">
        <v>1361</v>
      </c>
      <c r="L5" s="608"/>
      <c r="M5" s="254"/>
      <c r="N5" s="612" t="s">
        <v>1362</v>
      </c>
      <c r="O5" s="609" t="s">
        <v>1363</v>
      </c>
      <c r="P5" s="609" t="s">
        <v>1364</v>
      </c>
      <c r="Q5" s="609" t="s">
        <v>1365</v>
      </c>
      <c r="R5" s="255"/>
      <c r="S5" s="256"/>
      <c r="T5" s="610" t="s">
        <v>1366</v>
      </c>
      <c r="U5" s="257"/>
    </row>
    <row r="6" spans="1:21" ht="20.100000000000001" customHeight="1">
      <c r="B6" s="608"/>
      <c r="C6" s="608"/>
      <c r="D6" s="608"/>
      <c r="E6" s="608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3"/>
      <c r="O6" s="608"/>
      <c r="P6" s="608"/>
      <c r="Q6" s="608"/>
      <c r="R6" s="255"/>
      <c r="S6" s="256"/>
      <c r="T6" s="608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10560</v>
      </c>
      <c r="D7" s="263">
        <f>C7*4/24</f>
        <v>1760</v>
      </c>
      <c r="E7" s="263">
        <f>C7-D7</f>
        <v>8800</v>
      </c>
      <c r="F7" s="264">
        <f ca="1">DATA!D10/1000000</f>
        <v>258.76091918125002</v>
      </c>
      <c r="G7" s="265">
        <f ca="1">DATA!$D$11/1000000</f>
        <v>5.1752183836249994</v>
      </c>
      <c r="H7" s="265">
        <f>C7*DATA!$D$5/1000000</f>
        <v>11.448360484562327</v>
      </c>
      <c r="I7" s="265">
        <f>(C7*DATA!$D$5*DATA!$D$7)/1000000</f>
        <v>0.25758811090265238</v>
      </c>
      <c r="J7" s="263">
        <f ca="1">SUM(F7:I7)</f>
        <v>275.64208616034</v>
      </c>
      <c r="K7" s="266">
        <f>DATA!D9/1000000</f>
        <v>63.954000000000001</v>
      </c>
      <c r="L7" s="263">
        <f>((D7*DATA!$D$23)/1000000)+((E7*DATA!$D$24)/1000000)</f>
        <v>15.256031999999999</v>
      </c>
      <c r="M7" s="263">
        <f>K7+L7</f>
        <v>79.210031999999998</v>
      </c>
      <c r="N7" s="263">
        <f ca="1">M7-J7</f>
        <v>-196.43205416033999</v>
      </c>
      <c r="O7" s="261">
        <v>1</v>
      </c>
      <c r="P7" s="263">
        <f ca="1">O7*N7</f>
        <v>-196.43205416033999</v>
      </c>
      <c r="Q7" s="263">
        <f ca="1">P7</f>
        <v>-196.43205416033999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31680</v>
      </c>
      <c r="D8" s="263">
        <f>C8*4/24</f>
        <v>5280</v>
      </c>
      <c r="E8" s="263">
        <f t="shared" ref="E8:E32" si="0">C8-D8</f>
        <v>26400</v>
      </c>
      <c r="F8" s="261"/>
      <c r="G8" s="265">
        <f ca="1">DATA!$D$11/1000000</f>
        <v>5.1752183836249994</v>
      </c>
      <c r="H8" s="265">
        <f>C8*DATA!$D$5/1000000</f>
        <v>34.34508145368698</v>
      </c>
      <c r="I8" s="265">
        <f>(C8*DATA!$D$5*DATA!$D$7)/1000000</f>
        <v>0.77276433270795708</v>
      </c>
      <c r="J8" s="263">
        <f t="shared" ref="J8:J32" ca="1" si="1">SUM(F8:I8)</f>
        <v>40.293064170019939</v>
      </c>
      <c r="K8" s="268"/>
      <c r="L8" s="263">
        <f>((D8*DATA!$D$23)/1000000)+((E8*DATA!$D$24)/1000000)</f>
        <v>45.768096</v>
      </c>
      <c r="M8" s="263">
        <f t="shared" ref="M8:M32" si="2">K8+L8</f>
        <v>45.768096</v>
      </c>
      <c r="N8" s="263">
        <f ca="1">M8-J8</f>
        <v>5.4750318299800611</v>
      </c>
      <c r="O8" s="262">
        <f>1/(1+'[93]Asumsi I'!$C$3)^(KKF!A8)</f>
        <v>0.89285714285714279</v>
      </c>
      <c r="P8" s="263">
        <f ca="1">O8*N8</f>
        <v>4.8884212767679109</v>
      </c>
      <c r="Q8" s="263">
        <f ca="1">Q7+P8</f>
        <v>-191.54363288357209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31680</v>
      </c>
      <c r="D9" s="263">
        <f t="shared" ref="D9:D32" si="5">C9*4/24</f>
        <v>5280</v>
      </c>
      <c r="E9" s="263">
        <f t="shared" si="0"/>
        <v>26400</v>
      </c>
      <c r="F9" s="261"/>
      <c r="G9" s="265">
        <f ca="1">DATA!$D$11/1000000</f>
        <v>5.1752183836249994</v>
      </c>
      <c r="H9" s="265">
        <f>C9*DATA!$D$5/1000000</f>
        <v>34.34508145368698</v>
      </c>
      <c r="I9" s="265">
        <f>(C9*DATA!$D$5*DATA!$D$7)/1000000</f>
        <v>0.77276433270795708</v>
      </c>
      <c r="J9" s="263">
        <f t="shared" ca="1" si="1"/>
        <v>40.293064170019939</v>
      </c>
      <c r="K9" s="263"/>
      <c r="L9" s="263">
        <f>((D9*DATA!$D$23)/1000000)+((E9*DATA!$D$24)/1000000)</f>
        <v>45.768096</v>
      </c>
      <c r="M9" s="263">
        <f t="shared" si="2"/>
        <v>45.768096</v>
      </c>
      <c r="N9" s="263">
        <f t="shared" ref="N9:N32" ca="1" si="6">M9-J9</f>
        <v>5.4750318299800611</v>
      </c>
      <c r="O9" s="269">
        <f>1/(1+'[93]Asumsi I'!$C$3)^(KKF!A9)</f>
        <v>0.79719387755102034</v>
      </c>
      <c r="P9" s="263">
        <f t="shared" ref="P9:P32" ca="1" si="7">O9*N9</f>
        <v>4.3646618542570632</v>
      </c>
      <c r="Q9" s="263">
        <f ca="1">Q8+P9</f>
        <v>-187.17897102931502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31680</v>
      </c>
      <c r="D10" s="263">
        <f t="shared" si="5"/>
        <v>5280</v>
      </c>
      <c r="E10" s="263">
        <f t="shared" si="0"/>
        <v>26400</v>
      </c>
      <c r="F10" s="261"/>
      <c r="G10" s="265">
        <f ca="1">DATA!$D$11/1000000</f>
        <v>5.1752183836249994</v>
      </c>
      <c r="H10" s="265">
        <f>C10*DATA!$D$5/1000000</f>
        <v>34.34508145368698</v>
      </c>
      <c r="I10" s="265">
        <f>(C10*DATA!$D$5*DATA!$D$7)/1000000</f>
        <v>0.77276433270795708</v>
      </c>
      <c r="J10" s="263">
        <f t="shared" ca="1" si="1"/>
        <v>40.293064170019939</v>
      </c>
      <c r="K10" s="261"/>
      <c r="L10" s="263">
        <f>((D10*DATA!$D$23)/1000000)+((E10*DATA!$D$24)/1000000)</f>
        <v>45.768096</v>
      </c>
      <c r="M10" s="263">
        <f t="shared" si="2"/>
        <v>45.768096</v>
      </c>
      <c r="N10" s="263">
        <f t="shared" ca="1" si="6"/>
        <v>5.4750318299800611</v>
      </c>
      <c r="O10" s="262">
        <f>1/(1+'[93]Asumsi I'!$C$3)^(KKF!A10)</f>
        <v>0.71178024781341087</v>
      </c>
      <c r="P10" s="263">
        <f t="shared" ca="1" si="7"/>
        <v>3.8970195127295204</v>
      </c>
      <c r="Q10" s="263">
        <f t="shared" ref="Q10:Q30" ca="1" si="9">Q9+P10</f>
        <v>-183.28195151658551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31680</v>
      </c>
      <c r="D11" s="263">
        <f t="shared" si="5"/>
        <v>5280</v>
      </c>
      <c r="E11" s="263">
        <f t="shared" si="0"/>
        <v>26400</v>
      </c>
      <c r="F11" s="261"/>
      <c r="G11" s="265">
        <f ca="1">DATA!$D$11/1000000</f>
        <v>5.1752183836249994</v>
      </c>
      <c r="H11" s="265">
        <f>C11*DATA!$D$5/1000000</f>
        <v>34.34508145368698</v>
      </c>
      <c r="I11" s="265">
        <f>(C11*DATA!$D$5*DATA!$D$7)/1000000</f>
        <v>0.77276433270795708</v>
      </c>
      <c r="J11" s="263">
        <f t="shared" ca="1" si="1"/>
        <v>40.293064170019939</v>
      </c>
      <c r="K11" s="261"/>
      <c r="L11" s="263">
        <f>((D11*DATA!$D$23)/1000000)+((E11*DATA!$D$24)/1000000)</f>
        <v>45.768096</v>
      </c>
      <c r="M11" s="263">
        <f t="shared" si="2"/>
        <v>45.768096</v>
      </c>
      <c r="N11" s="263">
        <f t="shared" ca="1" si="6"/>
        <v>5.4750318299800611</v>
      </c>
      <c r="O11" s="262">
        <f>1/(1+'[93]Asumsi I'!$C$3)^(KKF!A11)</f>
        <v>0.63551807840483121</v>
      </c>
      <c r="P11" s="263">
        <f t="shared" ca="1" si="7"/>
        <v>3.4794817077942151</v>
      </c>
      <c r="Q11" s="263">
        <f t="shared" ca="1" si="9"/>
        <v>-179.8024698087913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31680</v>
      </c>
      <c r="D12" s="263">
        <f t="shared" si="5"/>
        <v>5280</v>
      </c>
      <c r="E12" s="263">
        <f t="shared" si="0"/>
        <v>26400</v>
      </c>
      <c r="F12" s="261"/>
      <c r="G12" s="265">
        <f ca="1">DATA!$D$11/1000000</f>
        <v>5.1752183836249994</v>
      </c>
      <c r="H12" s="265">
        <f>C12*DATA!$D$5/1000000</f>
        <v>34.34508145368698</v>
      </c>
      <c r="I12" s="265">
        <f>(C12*DATA!$D$5*DATA!$D$7)/1000000</f>
        <v>0.77276433270795708</v>
      </c>
      <c r="J12" s="263">
        <f t="shared" ca="1" si="1"/>
        <v>40.293064170019939</v>
      </c>
      <c r="K12" s="261"/>
      <c r="L12" s="263">
        <f>((D12*DATA!$D$23)/1000000)+((E12*DATA!$D$24)/1000000)</f>
        <v>45.768096</v>
      </c>
      <c r="M12" s="263">
        <f t="shared" si="2"/>
        <v>45.768096</v>
      </c>
      <c r="N12" s="263">
        <f t="shared" ca="1" si="6"/>
        <v>5.4750318299800611</v>
      </c>
      <c r="O12" s="262">
        <f>1/(1+'[93]Asumsi I'!$C$3)^(KKF!A12)</f>
        <v>0.56742685571859919</v>
      </c>
      <c r="P12" s="263">
        <f t="shared" ca="1" si="7"/>
        <v>3.1066800962448342</v>
      </c>
      <c r="Q12" s="263">
        <f t="shared" ca="1" si="9"/>
        <v>-176.69578971254646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31680</v>
      </c>
      <c r="D13" s="263">
        <f t="shared" si="5"/>
        <v>5280</v>
      </c>
      <c r="E13" s="263">
        <f t="shared" si="0"/>
        <v>26400</v>
      </c>
      <c r="F13" s="261"/>
      <c r="G13" s="265">
        <f ca="1">DATA!$D$11/1000000</f>
        <v>5.1752183836249994</v>
      </c>
      <c r="H13" s="265">
        <f>C13*DATA!$D$5/1000000</f>
        <v>34.34508145368698</v>
      </c>
      <c r="I13" s="265">
        <f>(C13*DATA!$D$5*DATA!$D$7)/1000000</f>
        <v>0.77276433270795708</v>
      </c>
      <c r="J13" s="263">
        <f t="shared" ca="1" si="1"/>
        <v>40.293064170019939</v>
      </c>
      <c r="K13" s="261"/>
      <c r="L13" s="263">
        <f>((D13*DATA!$D$23)/1000000)+((E13*DATA!$D$24)/1000000)</f>
        <v>45.768096</v>
      </c>
      <c r="M13" s="263">
        <f t="shared" si="2"/>
        <v>45.768096</v>
      </c>
      <c r="N13" s="263">
        <f t="shared" ca="1" si="6"/>
        <v>5.4750318299800611</v>
      </c>
      <c r="O13" s="262">
        <f>1/(1+'[93]Asumsi I'!$C$3)^(KKF!A13)</f>
        <v>0.50663112117732068</v>
      </c>
      <c r="P13" s="263">
        <f t="shared" ca="1" si="7"/>
        <v>2.7738215145043159</v>
      </c>
      <c r="Q13" s="263">
        <f t="shared" ca="1" si="9"/>
        <v>-173.92196819804215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31680</v>
      </c>
      <c r="D14" s="263">
        <f t="shared" si="5"/>
        <v>5280</v>
      </c>
      <c r="E14" s="263">
        <f t="shared" si="0"/>
        <v>26400</v>
      </c>
      <c r="F14" s="261"/>
      <c r="G14" s="265">
        <f ca="1">DATA!$D$11/1000000</f>
        <v>5.1752183836249994</v>
      </c>
      <c r="H14" s="265">
        <f>C14*DATA!$D$5/1000000</f>
        <v>34.34508145368698</v>
      </c>
      <c r="I14" s="265">
        <f>(C14*DATA!$D$5*DATA!$D$7)/1000000</f>
        <v>0.77276433270795708</v>
      </c>
      <c r="J14" s="263">
        <f t="shared" ca="1" si="1"/>
        <v>40.293064170019939</v>
      </c>
      <c r="K14" s="261"/>
      <c r="L14" s="263">
        <f>((D14*DATA!$D$23)/1000000)+((E14*DATA!$D$24)/1000000)</f>
        <v>45.768096</v>
      </c>
      <c r="M14" s="263">
        <f t="shared" si="2"/>
        <v>45.768096</v>
      </c>
      <c r="N14" s="263">
        <f t="shared" ca="1" si="6"/>
        <v>5.4750318299800611</v>
      </c>
      <c r="O14" s="262">
        <f>1/(1+'[93]Asumsi I'!$C$3)^(KKF!A14)</f>
        <v>0.45234921533689343</v>
      </c>
      <c r="P14" s="263">
        <f t="shared" ca="1" si="7"/>
        <v>2.4766263522359964</v>
      </c>
      <c r="Q14" s="263">
        <f t="shared" ca="1" si="9"/>
        <v>-171.44534184580615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31680</v>
      </c>
      <c r="D15" s="263">
        <f t="shared" si="5"/>
        <v>5280</v>
      </c>
      <c r="E15" s="263">
        <f t="shared" si="0"/>
        <v>26400</v>
      </c>
      <c r="F15" s="261"/>
      <c r="G15" s="265">
        <f ca="1">DATA!$D$11/1000000</f>
        <v>5.1752183836249994</v>
      </c>
      <c r="H15" s="265">
        <f>C15*DATA!$D$5/1000000</f>
        <v>34.34508145368698</v>
      </c>
      <c r="I15" s="265">
        <f>(C15*DATA!$D$5*DATA!$D$7)/1000000</f>
        <v>0.77276433270795708</v>
      </c>
      <c r="J15" s="263">
        <f t="shared" ca="1" si="1"/>
        <v>40.293064170019939</v>
      </c>
      <c r="K15" s="261"/>
      <c r="L15" s="263">
        <f>((D15*DATA!$D$23)/1000000)+((E15*DATA!$D$24)/1000000)</f>
        <v>45.768096</v>
      </c>
      <c r="M15" s="263">
        <f t="shared" si="2"/>
        <v>45.768096</v>
      </c>
      <c r="N15" s="263">
        <f t="shared" ca="1" si="6"/>
        <v>5.4750318299800611</v>
      </c>
      <c r="O15" s="262">
        <f>1/(1+'[93]Asumsi I'!$C$3)^(KKF!A15)</f>
        <v>0.4038832279793691</v>
      </c>
      <c r="P15" s="263">
        <f t="shared" ca="1" si="7"/>
        <v>2.2112735287821392</v>
      </c>
      <c r="Q15" s="263">
        <f t="shared" ca="1" si="9"/>
        <v>-169.23406831702403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31680</v>
      </c>
      <c r="D16" s="263">
        <f t="shared" si="5"/>
        <v>5280</v>
      </c>
      <c r="E16" s="263">
        <f t="shared" si="0"/>
        <v>26400</v>
      </c>
      <c r="F16" s="261"/>
      <c r="G16" s="265">
        <f ca="1">DATA!$D$11/1000000</f>
        <v>5.1752183836249994</v>
      </c>
      <c r="H16" s="265">
        <f>C16*DATA!$D$5/1000000</f>
        <v>34.34508145368698</v>
      </c>
      <c r="I16" s="265">
        <f>(C16*DATA!$D$5*DATA!$D$7)/1000000</f>
        <v>0.77276433270795708</v>
      </c>
      <c r="J16" s="263">
        <f t="shared" ca="1" si="1"/>
        <v>40.293064170019939</v>
      </c>
      <c r="K16" s="261"/>
      <c r="L16" s="263">
        <f>((D16*DATA!$D$23)/1000000)+((E16*DATA!$D$24)/1000000)</f>
        <v>45.768096</v>
      </c>
      <c r="M16" s="263">
        <f t="shared" si="2"/>
        <v>45.768096</v>
      </c>
      <c r="N16" s="263">
        <f t="shared" ca="1" si="6"/>
        <v>5.4750318299800611</v>
      </c>
      <c r="O16" s="262">
        <f>1/(1+'[93]Asumsi I'!$C$3)^(KKF!A16)</f>
        <v>0.36061002498157957</v>
      </c>
      <c r="P16" s="263">
        <f t="shared" ca="1" si="7"/>
        <v>1.9743513649840532</v>
      </c>
      <c r="Q16" s="263">
        <f t="shared" ca="1" si="9"/>
        <v>-167.25971695203998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31680</v>
      </c>
      <c r="D17" s="263">
        <f t="shared" si="5"/>
        <v>5280</v>
      </c>
      <c r="E17" s="263">
        <f t="shared" si="0"/>
        <v>26400</v>
      </c>
      <c r="F17" s="261"/>
      <c r="G17" s="265">
        <f ca="1">DATA!$D$11/1000000</f>
        <v>5.1752183836249994</v>
      </c>
      <c r="H17" s="265">
        <f>C17*DATA!$D$5/1000000</f>
        <v>34.34508145368698</v>
      </c>
      <c r="I17" s="265">
        <f>(C17*DATA!$D$5*DATA!$D$7)/1000000</f>
        <v>0.77276433270795708</v>
      </c>
      <c r="J17" s="263">
        <f t="shared" ca="1" si="1"/>
        <v>40.293064170019939</v>
      </c>
      <c r="K17" s="261"/>
      <c r="L17" s="263">
        <f>((D17*DATA!$D$23)/1000000)+((E17*DATA!$D$24)/1000000)</f>
        <v>45.768096</v>
      </c>
      <c r="M17" s="263">
        <f t="shared" si="2"/>
        <v>45.768096</v>
      </c>
      <c r="N17" s="263">
        <f t="shared" ca="1" si="6"/>
        <v>5.4750318299800611</v>
      </c>
      <c r="O17" s="262">
        <f>1/(1+'[93]Asumsi I'!$C$3)^(KKF!A17)</f>
        <v>0.32197323659069599</v>
      </c>
      <c r="P17" s="263">
        <f t="shared" ca="1" si="7"/>
        <v>1.7628137187357615</v>
      </c>
      <c r="Q17" s="263">
        <f t="shared" ca="1" si="9"/>
        <v>-165.49690323330421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31680</v>
      </c>
      <c r="D18" s="263">
        <f t="shared" si="5"/>
        <v>5280</v>
      </c>
      <c r="E18" s="263">
        <f t="shared" si="0"/>
        <v>26400</v>
      </c>
      <c r="F18" s="261"/>
      <c r="G18" s="265">
        <f ca="1">DATA!$D$11/1000000</f>
        <v>5.1752183836249994</v>
      </c>
      <c r="H18" s="265">
        <f>C18*DATA!$D$5/1000000</f>
        <v>34.34508145368698</v>
      </c>
      <c r="I18" s="265">
        <f>(C18*DATA!$D$5*DATA!$D$7)/1000000</f>
        <v>0.77276433270795708</v>
      </c>
      <c r="J18" s="263">
        <f t="shared" ca="1" si="1"/>
        <v>40.293064170019939</v>
      </c>
      <c r="K18" s="261"/>
      <c r="L18" s="263">
        <f>((D18*DATA!$D$23)/1000000)+((E18*DATA!$D$24)/1000000)</f>
        <v>45.768096</v>
      </c>
      <c r="M18" s="263">
        <f t="shared" si="2"/>
        <v>45.768096</v>
      </c>
      <c r="N18" s="263">
        <f t="shared" ca="1" si="6"/>
        <v>5.4750318299800611</v>
      </c>
      <c r="O18" s="262">
        <f>1/(1+'[93]Asumsi I'!$C$3)^(KKF!A18)</f>
        <v>0.28747610409883567</v>
      </c>
      <c r="P18" s="263">
        <f t="shared" ca="1" si="7"/>
        <v>1.5739408202997869</v>
      </c>
      <c r="Q18" s="263">
        <f t="shared" ca="1" si="9"/>
        <v>-163.92296241300443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31680</v>
      </c>
      <c r="D19" s="263">
        <f t="shared" si="5"/>
        <v>5280</v>
      </c>
      <c r="E19" s="263">
        <f t="shared" si="0"/>
        <v>26400</v>
      </c>
      <c r="F19" s="261"/>
      <c r="G19" s="265">
        <f ca="1">DATA!$D$11/1000000</f>
        <v>5.1752183836249994</v>
      </c>
      <c r="H19" s="265">
        <f>C19*DATA!$D$5/1000000</f>
        <v>34.34508145368698</v>
      </c>
      <c r="I19" s="265">
        <f>(C19*DATA!$D$5*DATA!$D$7)/1000000</f>
        <v>0.77276433270795708</v>
      </c>
      <c r="J19" s="263">
        <f t="shared" ca="1" si="1"/>
        <v>40.293064170019939</v>
      </c>
      <c r="K19" s="261"/>
      <c r="L19" s="263">
        <f>((D19*DATA!$D$23)/1000000)+((E19*DATA!$D$24)/1000000)</f>
        <v>45.768096</v>
      </c>
      <c r="M19" s="263">
        <f t="shared" si="2"/>
        <v>45.768096</v>
      </c>
      <c r="N19" s="263">
        <f t="shared" ca="1" si="6"/>
        <v>5.4750318299800611</v>
      </c>
      <c r="O19" s="262">
        <f>1/(1+'[93]Asumsi I'!$C$3)^(KKF!A19)</f>
        <v>0.25667509294538904</v>
      </c>
      <c r="P19" s="263">
        <f t="shared" ca="1" si="7"/>
        <v>1.4053043038390955</v>
      </c>
      <c r="Q19" s="263">
        <f t="shared" ca="1" si="9"/>
        <v>-162.51765810916532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31680</v>
      </c>
      <c r="D20" s="263">
        <f t="shared" si="5"/>
        <v>5280</v>
      </c>
      <c r="E20" s="263">
        <f t="shared" si="0"/>
        <v>26400</v>
      </c>
      <c r="F20" s="261"/>
      <c r="G20" s="265">
        <f ca="1">DATA!$D$11/1000000</f>
        <v>5.1752183836249994</v>
      </c>
      <c r="H20" s="265">
        <f>C20*DATA!$D$5/1000000</f>
        <v>34.34508145368698</v>
      </c>
      <c r="I20" s="265">
        <f>(C20*DATA!$D$5*DATA!$D$7)/1000000</f>
        <v>0.77276433270795708</v>
      </c>
      <c r="J20" s="263">
        <f t="shared" ca="1" si="1"/>
        <v>40.293064170019939</v>
      </c>
      <c r="K20" s="261"/>
      <c r="L20" s="263">
        <f>((D20*DATA!$D$23)/1000000)+((E20*DATA!$D$24)/1000000)</f>
        <v>45.768096</v>
      </c>
      <c r="M20" s="263">
        <f t="shared" si="2"/>
        <v>45.768096</v>
      </c>
      <c r="N20" s="263">
        <f t="shared" ca="1" si="6"/>
        <v>5.4750318299800611</v>
      </c>
      <c r="O20" s="262">
        <f>1/(1+'[93]Asumsi I'!$C$3)^(KKF!A20)</f>
        <v>0.22917419012981158</v>
      </c>
      <c r="P20" s="263">
        <f t="shared" ca="1" si="7"/>
        <v>1.2547359855706208</v>
      </c>
      <c r="Q20" s="263">
        <f t="shared" ca="1" si="9"/>
        <v>-161.26292212359471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31680</v>
      </c>
      <c r="D21" s="263">
        <f t="shared" si="5"/>
        <v>5280</v>
      </c>
      <c r="E21" s="263">
        <f t="shared" si="0"/>
        <v>26400</v>
      </c>
      <c r="F21" s="261"/>
      <c r="G21" s="265">
        <f ca="1">DATA!$D$11/1000000</f>
        <v>5.1752183836249994</v>
      </c>
      <c r="H21" s="265">
        <f>C21*DATA!$D$5/1000000</f>
        <v>34.34508145368698</v>
      </c>
      <c r="I21" s="265">
        <f>(C21*DATA!$D$5*DATA!$D$7)/1000000</f>
        <v>0.77276433270795708</v>
      </c>
      <c r="J21" s="263">
        <f t="shared" ca="1" si="1"/>
        <v>40.293064170019939</v>
      </c>
      <c r="K21" s="261"/>
      <c r="L21" s="263">
        <f>((D21*DATA!$D$23)/1000000)+((E21*DATA!$D$24)/1000000)</f>
        <v>45.768096</v>
      </c>
      <c r="M21" s="263">
        <f t="shared" si="2"/>
        <v>45.768096</v>
      </c>
      <c r="N21" s="263">
        <f t="shared" ca="1" si="6"/>
        <v>5.4750318299800611</v>
      </c>
      <c r="O21" s="262">
        <f>1/(1+'[93]Asumsi I'!$C$3)^(KKF!A21)</f>
        <v>0.20461981261590317</v>
      </c>
      <c r="P21" s="263">
        <f t="shared" ca="1" si="7"/>
        <v>1.1202999871166255</v>
      </c>
      <c r="Q21" s="263">
        <f t="shared" ca="1" si="9"/>
        <v>-160.14262213647808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31680</v>
      </c>
      <c r="D22" s="263">
        <f t="shared" si="5"/>
        <v>5280</v>
      </c>
      <c r="E22" s="263">
        <f t="shared" si="0"/>
        <v>26400</v>
      </c>
      <c r="F22" s="261"/>
      <c r="G22" s="265">
        <f ca="1">DATA!$D$11/1000000</f>
        <v>5.1752183836249994</v>
      </c>
      <c r="H22" s="265">
        <f>C22*DATA!$D$5/1000000</f>
        <v>34.34508145368698</v>
      </c>
      <c r="I22" s="265">
        <f>(C22*DATA!$D$5*DATA!$D$7)/1000000</f>
        <v>0.77276433270795708</v>
      </c>
      <c r="J22" s="263">
        <f t="shared" ca="1" si="1"/>
        <v>40.293064170019939</v>
      </c>
      <c r="K22" s="261"/>
      <c r="L22" s="263">
        <f>((D22*DATA!$D$23)/1000000)+((E22*DATA!$D$24)/1000000)</f>
        <v>45.768096</v>
      </c>
      <c r="M22" s="263">
        <f t="shared" si="2"/>
        <v>45.768096</v>
      </c>
      <c r="N22" s="263">
        <f t="shared" ca="1" si="6"/>
        <v>5.4750318299800611</v>
      </c>
      <c r="O22" s="262">
        <f>1/(1+'[93]Asumsi I'!$C$3)^(KKF!A22)</f>
        <v>0.18269626126419927</v>
      </c>
      <c r="P22" s="263">
        <f t="shared" ca="1" si="7"/>
        <v>1.0002678456398444</v>
      </c>
      <c r="Q22" s="263">
        <f t="shared" ca="1" si="9"/>
        <v>-159.14235429083823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31680</v>
      </c>
      <c r="D23" s="263">
        <f t="shared" si="5"/>
        <v>5280</v>
      </c>
      <c r="E23" s="263">
        <f t="shared" si="0"/>
        <v>26400</v>
      </c>
      <c r="F23" s="261"/>
      <c r="G23" s="265">
        <f ca="1">DATA!$D$11/1000000</f>
        <v>5.1752183836249994</v>
      </c>
      <c r="H23" s="265">
        <f>C23*DATA!$D$5/1000000</f>
        <v>34.34508145368698</v>
      </c>
      <c r="I23" s="265">
        <f>(C23*DATA!$D$5*DATA!$D$7)/1000000</f>
        <v>0.77276433270795708</v>
      </c>
      <c r="J23" s="263">
        <f t="shared" ca="1" si="1"/>
        <v>40.293064170019939</v>
      </c>
      <c r="K23" s="261"/>
      <c r="L23" s="263">
        <f>((D23*DATA!$D$23)/1000000)+((E23*DATA!$D$24)/1000000)</f>
        <v>45.768096</v>
      </c>
      <c r="M23" s="263">
        <f t="shared" si="2"/>
        <v>45.768096</v>
      </c>
      <c r="N23" s="263">
        <f t="shared" ca="1" si="6"/>
        <v>5.4750318299800611</v>
      </c>
      <c r="O23" s="262">
        <f>1/(1+'[93]Asumsi I'!$C$3)^(KKF!A23)</f>
        <v>0.16312166184303503</v>
      </c>
      <c r="P23" s="263">
        <f t="shared" ca="1" si="7"/>
        <v>0.89309629074986074</v>
      </c>
      <c r="Q23" s="263">
        <f t="shared" ca="1" si="9"/>
        <v>-158.24925800008836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31680</v>
      </c>
      <c r="D24" s="263">
        <f t="shared" si="5"/>
        <v>5280</v>
      </c>
      <c r="E24" s="263">
        <f t="shared" si="0"/>
        <v>26400</v>
      </c>
      <c r="F24" s="261"/>
      <c r="G24" s="265">
        <f ca="1">DATA!$D$11/1000000</f>
        <v>5.1752183836249994</v>
      </c>
      <c r="H24" s="265">
        <f>C24*DATA!$D$5/1000000</f>
        <v>34.34508145368698</v>
      </c>
      <c r="I24" s="265">
        <f>(C24*DATA!$D$5*DATA!$D$7)/1000000</f>
        <v>0.77276433270795708</v>
      </c>
      <c r="J24" s="263">
        <f t="shared" ca="1" si="1"/>
        <v>40.293064170019939</v>
      </c>
      <c r="K24" s="261"/>
      <c r="L24" s="263">
        <f>((D24*DATA!$D$23)/1000000)+((E24*DATA!$D$24)/1000000)</f>
        <v>45.768096</v>
      </c>
      <c r="M24" s="263">
        <f t="shared" si="2"/>
        <v>45.768096</v>
      </c>
      <c r="N24" s="263">
        <f t="shared" ca="1" si="6"/>
        <v>5.4750318299800611</v>
      </c>
      <c r="O24" s="262">
        <f>1/(1+'[93]Asumsi I'!$C$3)^(KKF!A24)</f>
        <v>0.14564434093128129</v>
      </c>
      <c r="P24" s="263">
        <f t="shared" ca="1" si="7"/>
        <v>0.79740740245523289</v>
      </c>
      <c r="Q24" s="263">
        <f t="shared" ca="1" si="9"/>
        <v>-157.45185059763313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31680</v>
      </c>
      <c r="D25" s="263">
        <f t="shared" si="5"/>
        <v>5280</v>
      </c>
      <c r="E25" s="263">
        <f t="shared" si="0"/>
        <v>26400</v>
      </c>
      <c r="F25" s="261"/>
      <c r="G25" s="265">
        <f ca="1">DATA!$D$11/1000000</f>
        <v>5.1752183836249994</v>
      </c>
      <c r="H25" s="265">
        <f>C25*DATA!$D$5/1000000</f>
        <v>34.34508145368698</v>
      </c>
      <c r="I25" s="265">
        <f>(C25*DATA!$D$5*DATA!$D$7)/1000000</f>
        <v>0.77276433270795708</v>
      </c>
      <c r="J25" s="263">
        <f t="shared" ca="1" si="1"/>
        <v>40.293064170019939</v>
      </c>
      <c r="K25" s="261"/>
      <c r="L25" s="263">
        <f>((D25*DATA!$D$23)/1000000)+((E25*DATA!$D$24)/1000000)</f>
        <v>45.768096</v>
      </c>
      <c r="M25" s="263">
        <f t="shared" si="2"/>
        <v>45.768096</v>
      </c>
      <c r="N25" s="263">
        <f t="shared" ca="1" si="6"/>
        <v>5.4750318299800611</v>
      </c>
      <c r="O25" s="262">
        <f>1/(1+'[93]Asumsi I'!$C$3)^(KKF!A25)</f>
        <v>0.13003959011721541</v>
      </c>
      <c r="P25" s="263">
        <f t="shared" ca="1" si="7"/>
        <v>0.71197089504931499</v>
      </c>
      <c r="Q25" s="263">
        <f t="shared" ca="1" si="9"/>
        <v>-156.73987970258381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31680</v>
      </c>
      <c r="D26" s="263">
        <f t="shared" si="5"/>
        <v>5280</v>
      </c>
      <c r="E26" s="263">
        <f t="shared" si="0"/>
        <v>26400</v>
      </c>
      <c r="F26" s="261"/>
      <c r="G26" s="265">
        <f ca="1">DATA!$D$11/1000000</f>
        <v>5.1752183836249994</v>
      </c>
      <c r="H26" s="265">
        <f>C26*DATA!$D$5/1000000</f>
        <v>34.34508145368698</v>
      </c>
      <c r="I26" s="265">
        <f>(C26*DATA!$D$5*DATA!$D$7)/1000000</f>
        <v>0.77276433270795708</v>
      </c>
      <c r="J26" s="263">
        <f t="shared" ca="1" si="1"/>
        <v>40.293064170019939</v>
      </c>
      <c r="K26" s="261"/>
      <c r="L26" s="263">
        <f>((D26*DATA!$D$23)/1000000)+((E26*DATA!$D$24)/1000000)</f>
        <v>45.768096</v>
      </c>
      <c r="M26" s="263">
        <f t="shared" si="2"/>
        <v>45.768096</v>
      </c>
      <c r="N26" s="263">
        <f t="shared" ca="1" si="6"/>
        <v>5.4750318299800611</v>
      </c>
      <c r="O26" s="262">
        <f>1/(1+'[93]Asumsi I'!$C$3)^(KKF!A26)</f>
        <v>0.1161067768903709</v>
      </c>
      <c r="P26" s="263">
        <f t="shared" ca="1" si="7"/>
        <v>0.63568829915117409</v>
      </c>
      <c r="Q26" s="263">
        <f t="shared" ca="1" si="9"/>
        <v>-156.10419140343262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31680</v>
      </c>
      <c r="D27" s="263">
        <f t="shared" si="5"/>
        <v>5280</v>
      </c>
      <c r="E27" s="263">
        <f t="shared" si="0"/>
        <v>26400</v>
      </c>
      <c r="F27" s="261"/>
      <c r="G27" s="265">
        <f ca="1">DATA!$D$11/1000000</f>
        <v>5.1752183836249994</v>
      </c>
      <c r="H27" s="265">
        <f>C27*DATA!$D$5/1000000</f>
        <v>34.34508145368698</v>
      </c>
      <c r="I27" s="265">
        <f>(C27*DATA!$D$5*DATA!$D$7)/1000000</f>
        <v>0.77276433270795708</v>
      </c>
      <c r="J27" s="263">
        <f t="shared" ca="1" si="1"/>
        <v>40.293064170019939</v>
      </c>
      <c r="K27" s="261"/>
      <c r="L27" s="263">
        <f>((D27*DATA!$D$23)/1000000)+((E27*DATA!$D$24)/1000000)</f>
        <v>45.768096</v>
      </c>
      <c r="M27" s="263">
        <f t="shared" si="2"/>
        <v>45.768096</v>
      </c>
      <c r="N27" s="263">
        <f t="shared" ca="1" si="6"/>
        <v>5.4750318299800611</v>
      </c>
      <c r="O27" s="262">
        <f>1/(1+'[93]Asumsi I'!$C$3)^(KKF!A27)</f>
        <v>0.1036667650806883</v>
      </c>
      <c r="P27" s="263">
        <f t="shared" ca="1" si="7"/>
        <v>0.56757883852783397</v>
      </c>
      <c r="Q27" s="263">
        <f t="shared" ca="1" si="9"/>
        <v>-155.5366125649048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31680</v>
      </c>
      <c r="D28" s="263">
        <f t="shared" si="5"/>
        <v>5280</v>
      </c>
      <c r="E28" s="263">
        <f t="shared" si="0"/>
        <v>26400</v>
      </c>
      <c r="F28" s="261"/>
      <c r="G28" s="265">
        <f ca="1">DATA!$D$11/1000000</f>
        <v>5.1752183836249994</v>
      </c>
      <c r="H28" s="265">
        <f>C28*DATA!$D$5/1000000</f>
        <v>34.34508145368698</v>
      </c>
      <c r="I28" s="265">
        <f>(C28*DATA!$D$5*DATA!$D$7)/1000000</f>
        <v>0.77276433270795708</v>
      </c>
      <c r="J28" s="263">
        <f t="shared" ca="1" si="1"/>
        <v>40.293064170019939</v>
      </c>
      <c r="K28" s="261"/>
      <c r="L28" s="263">
        <f>((D28*DATA!$D$23)/1000000)+((E28*DATA!$D$24)/1000000)</f>
        <v>45.768096</v>
      </c>
      <c r="M28" s="263">
        <f t="shared" si="2"/>
        <v>45.768096</v>
      </c>
      <c r="N28" s="263">
        <f t="shared" ca="1" si="6"/>
        <v>5.4750318299800611</v>
      </c>
      <c r="O28" s="262">
        <f>1/(1+'[93]Asumsi I'!$C$3)^(KKF!A28)</f>
        <v>9.2559611679185971E-2</v>
      </c>
      <c r="P28" s="263">
        <f t="shared" ca="1" si="7"/>
        <v>0.50676682011413743</v>
      </c>
      <c r="Q28" s="263">
        <f t="shared" ca="1" si="9"/>
        <v>-155.02984574479066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31680</v>
      </c>
      <c r="D29" s="263">
        <f t="shared" si="5"/>
        <v>5280</v>
      </c>
      <c r="E29" s="263">
        <f t="shared" si="0"/>
        <v>26400</v>
      </c>
      <c r="F29" s="261"/>
      <c r="G29" s="265">
        <f ca="1">DATA!$D$11/1000000</f>
        <v>5.1752183836249994</v>
      </c>
      <c r="H29" s="265">
        <f>C29*DATA!$D$5/1000000</f>
        <v>34.34508145368698</v>
      </c>
      <c r="I29" s="265">
        <f>(C29*DATA!$D$5*DATA!$D$7)/1000000</f>
        <v>0.77276433270795708</v>
      </c>
      <c r="J29" s="263">
        <f t="shared" ca="1" si="1"/>
        <v>40.293064170019939</v>
      </c>
      <c r="K29" s="261"/>
      <c r="L29" s="263">
        <f>((D29*DATA!$D$23)/1000000)+((E29*DATA!$D$24)/1000000)</f>
        <v>45.768096</v>
      </c>
      <c r="M29" s="263">
        <f t="shared" si="2"/>
        <v>45.768096</v>
      </c>
      <c r="N29" s="263">
        <f t="shared" ca="1" si="6"/>
        <v>5.4750318299800611</v>
      </c>
      <c r="O29" s="262">
        <f>1/(1+'[93]Asumsi I'!$C$3)^(KKF!A29)</f>
        <v>8.2642510427844609E-2</v>
      </c>
      <c r="P29" s="263">
        <f t="shared" ca="1" si="7"/>
        <v>0.45247037510190835</v>
      </c>
      <c r="Q29" s="263">
        <f t="shared" ca="1" si="9"/>
        <v>-154.57737536968875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31680</v>
      </c>
      <c r="D30" s="263">
        <f t="shared" si="5"/>
        <v>5280</v>
      </c>
      <c r="E30" s="263">
        <f t="shared" si="0"/>
        <v>26400</v>
      </c>
      <c r="F30" s="261"/>
      <c r="G30" s="265">
        <f ca="1">DATA!$D$11/1000000</f>
        <v>5.1752183836249994</v>
      </c>
      <c r="H30" s="265">
        <f>C30*DATA!$D$5/1000000</f>
        <v>34.34508145368698</v>
      </c>
      <c r="I30" s="265">
        <f>(C30*DATA!$D$5*DATA!$D$7)/1000000</f>
        <v>0.77276433270795708</v>
      </c>
      <c r="J30" s="263">
        <f t="shared" ca="1" si="1"/>
        <v>40.293064170019939</v>
      </c>
      <c r="K30" s="261"/>
      <c r="L30" s="263">
        <f>((D30*DATA!$D$23)/1000000)+((E30*DATA!$D$24)/1000000)</f>
        <v>45.768096</v>
      </c>
      <c r="M30" s="263">
        <f t="shared" si="2"/>
        <v>45.768096</v>
      </c>
      <c r="N30" s="263">
        <f t="shared" ca="1" si="6"/>
        <v>5.4750318299800611</v>
      </c>
      <c r="O30" s="262">
        <f>1/(1+'[93]Asumsi I'!$C$3)^(KKF!A30)</f>
        <v>7.3787955739146982E-2</v>
      </c>
      <c r="P30" s="263">
        <f t="shared" ca="1" si="7"/>
        <v>0.40399140634098968</v>
      </c>
      <c r="Q30" s="263">
        <f t="shared" ca="1" si="9"/>
        <v>-154.17338396334776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31680</v>
      </c>
      <c r="D31" s="263">
        <f t="shared" si="5"/>
        <v>5280</v>
      </c>
      <c r="E31" s="263">
        <f t="shared" si="0"/>
        <v>26400</v>
      </c>
      <c r="F31" s="261"/>
      <c r="G31" s="265">
        <f ca="1">DATA!$D$11/1000000</f>
        <v>5.1752183836249994</v>
      </c>
      <c r="H31" s="265">
        <f>C31*DATA!$D$5/1000000</f>
        <v>34.34508145368698</v>
      </c>
      <c r="I31" s="265">
        <f>(C31*DATA!$D$5*DATA!$D$7)/1000000</f>
        <v>0.77276433270795708</v>
      </c>
      <c r="J31" s="263">
        <f t="shared" ca="1" si="1"/>
        <v>40.293064170019939</v>
      </c>
      <c r="K31" s="261"/>
      <c r="L31" s="263">
        <f>((D31*DATA!$D$23)/1000000)+((E31*DATA!$D$24)/1000000)</f>
        <v>45.768096</v>
      </c>
      <c r="M31" s="263">
        <f t="shared" si="2"/>
        <v>45.768096</v>
      </c>
      <c r="N31" s="263">
        <f t="shared" ca="1" si="6"/>
        <v>5.4750318299800611</v>
      </c>
      <c r="O31" s="262">
        <f>1/(1+'[93]Asumsi I'!$C$3)^(KKF!A31)</f>
        <v>6.5882103338524081E-2</v>
      </c>
      <c r="P31" s="263">
        <f t="shared" ca="1" si="7"/>
        <v>0.36070661280445498</v>
      </c>
      <c r="Q31" s="263">
        <f ca="1">Q30+P31</f>
        <v>-153.81267735054331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31680</v>
      </c>
      <c r="D32" s="263">
        <f t="shared" si="5"/>
        <v>5280</v>
      </c>
      <c r="E32" s="263">
        <f t="shared" si="0"/>
        <v>26400</v>
      </c>
      <c r="F32" s="261"/>
      <c r="G32" s="265">
        <f ca="1">DATA!$D$11/1000000</f>
        <v>5.1752183836249994</v>
      </c>
      <c r="H32" s="265">
        <f>C32*DATA!$D$5/1000000</f>
        <v>34.34508145368698</v>
      </c>
      <c r="I32" s="265">
        <f>(C32*DATA!$D$5*DATA!$D$7)/1000000</f>
        <v>0.77276433270795708</v>
      </c>
      <c r="J32" s="263">
        <f t="shared" ca="1" si="1"/>
        <v>40.293064170019939</v>
      </c>
      <c r="K32" s="261"/>
      <c r="L32" s="263">
        <f>((D32*DATA!$D$23)/1000000)+((E32*DATA!$D$24)/1000000)</f>
        <v>45.768096</v>
      </c>
      <c r="M32" s="263">
        <f t="shared" si="2"/>
        <v>45.768096</v>
      </c>
      <c r="N32" s="263">
        <f t="shared" ca="1" si="6"/>
        <v>5.4750318299800611</v>
      </c>
      <c r="O32" s="262">
        <f>1/(1+'[93]Asumsi I'!$C$3)^(KKF!A32)</f>
        <v>5.8823306552253637E-2</v>
      </c>
      <c r="P32" s="263">
        <f t="shared" ca="1" si="7"/>
        <v>0.32205947571826338</v>
      </c>
      <c r="Q32" s="263">
        <f ca="1">Q31+P32</f>
        <v>-153.49061787482503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1" t="s">
        <v>1373</v>
      </c>
      <c r="G33" s="611"/>
      <c r="H33" s="611"/>
      <c r="I33" s="271"/>
      <c r="J33" s="272">
        <f ca="1">SUM(J7:J32)</f>
        <v>1282.9686904108394</v>
      </c>
      <c r="K33" s="611" t="s">
        <v>1374</v>
      </c>
      <c r="L33" s="611"/>
      <c r="M33" s="272">
        <f>SUM(M7:M32)</f>
        <v>1223.4124320000003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50.345293821121736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0.95357933606955936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-137.04519453109376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-2.6053695092419393E-2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38" priority="1" stopIfTrue="1" operator="greaterThanOrEqual">
      <formula>$F$7</formula>
    </cfRule>
    <cfRule type="cellIs" dxfId="37" priority="2" stopIfTrue="1" operator="lessThan">
      <formula>$F$7</formula>
    </cfRule>
  </conditionalFormatting>
  <conditionalFormatting sqref="Q7:Q32">
    <cfRule type="cellIs" dxfId="36" priority="3" operator="lessThan">
      <formula>0</formula>
    </cfRule>
    <cfRule type="cellIs" dxfId="35" priority="4" operator="lessThan">
      <formula>0</formula>
    </cfRule>
    <cfRule type="cellIs" dxfId="34" priority="5" operator="lessThan">
      <formula>-6395.81</formula>
    </cfRule>
    <cfRule type="cellIs" dxfId="3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258"/>
  <sheetViews>
    <sheetView showGridLines="0" zoomScale="70" zoomScaleNormal="70" zoomScaleSheetLayoutView="70" workbookViewId="0">
      <pane ySplit="13" topLeftCell="A224" activePane="bottomLeft" state="frozen"/>
      <selection activeCell="H1093" sqref="H1093"/>
      <selection pane="bottomLeft" activeCell="M187" sqref="M187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4" t="s">
        <v>1036</v>
      </c>
      <c r="P3" s="614"/>
      <c r="Q3" s="293"/>
      <c r="T3" s="291"/>
      <c r="U3" s="292" t="s">
        <v>1041</v>
      </c>
      <c r="V3" s="291"/>
    </row>
    <row r="4" spans="1:22" ht="15.75" customHeight="1">
      <c r="B4" s="615" t="s">
        <v>1023</v>
      </c>
      <c r="C4" s="615"/>
      <c r="D4" s="615"/>
      <c r="E4" s="615"/>
      <c r="F4" s="615"/>
      <c r="G4" s="615"/>
      <c r="H4" s="615"/>
      <c r="I4" s="615"/>
      <c r="J4" s="615"/>
      <c r="K4" s="615"/>
      <c r="O4" s="614"/>
      <c r="P4" s="614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1" t="s">
        <v>1627</v>
      </c>
      <c r="H6" s="632"/>
      <c r="I6" s="632"/>
      <c r="J6" s="632"/>
      <c r="K6" s="632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1628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17" t="s">
        <v>0</v>
      </c>
      <c r="C11" s="619" t="s">
        <v>1</v>
      </c>
      <c r="D11" s="622" t="s">
        <v>42</v>
      </c>
      <c r="E11" s="622" t="s">
        <v>43</v>
      </c>
      <c r="F11" s="622" t="s">
        <v>2</v>
      </c>
      <c r="G11" s="624" t="s">
        <v>41</v>
      </c>
      <c r="H11" s="622" t="s">
        <v>3</v>
      </c>
      <c r="I11" s="622"/>
      <c r="J11" s="622"/>
      <c r="K11" s="642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18"/>
      <c r="C12" s="620"/>
      <c r="D12" s="623"/>
      <c r="E12" s="623"/>
      <c r="F12" s="623"/>
      <c r="G12" s="625"/>
      <c r="H12" s="627" t="s">
        <v>46</v>
      </c>
      <c r="I12" s="627" t="s">
        <v>5</v>
      </c>
      <c r="J12" s="623" t="s">
        <v>47</v>
      </c>
      <c r="K12" s="643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18"/>
      <c r="C13" s="621"/>
      <c r="D13" s="623"/>
      <c r="E13" s="623"/>
      <c r="F13" s="623"/>
      <c r="G13" s="626"/>
      <c r="H13" s="628"/>
      <c r="I13" s="628"/>
      <c r="J13" s="623"/>
      <c r="K13" s="643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" ca="1" si="0">IF(OR(D14="MDU",D14="MDU-KD"),(IF($O$3="RAB NON MDU","PLN KD",G14*F14)),0)</f>
        <v>0</v>
      </c>
      <c r="I14" s="308">
        <f t="shared" ref="I14" ca="1" si="1">IF(D14="HDW",G14*F14,0)</f>
        <v>0</v>
      </c>
      <c r="J14" s="308">
        <f t="shared" ref="J14" ca="1" si="2">IF(D14="JASA",G14*F14,0)</f>
        <v>0</v>
      </c>
      <c r="K14" s="309">
        <f t="shared" ref="K1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86" ca="1" si="4">IF(OR(D15="MDU",D15="MDU-KD"),(IF($O$3="RAB NON MDU","PLN KD",G15*F15)),0)</f>
        <v>0</v>
      </c>
      <c r="I15" s="308">
        <f t="shared" ref="I15:I186" ca="1" si="5">IF(D15="HDW",G15*F15,0)</f>
        <v>0</v>
      </c>
      <c r="J15" s="308">
        <f t="shared" ref="J15:J186" ca="1" si="6">IF(D15="JASA",G15*F15,0)</f>
        <v>0</v>
      </c>
      <c r="K15" s="309">
        <f t="shared" ref="K15:K186" ca="1" si="7">SUM(H15:J15)</f>
        <v>0</v>
      </c>
      <c r="L15" s="289"/>
      <c r="M15" s="289" t="str">
        <f t="shared" ref="M15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1</v>
      </c>
      <c r="C17" s="109" t="s">
        <v>101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v>2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ca="1" si="4"/>
        <v>0</v>
      </c>
      <c r="I17" s="308">
        <f t="shared" ca="1" si="5"/>
        <v>6765200</v>
      </c>
      <c r="J17" s="308">
        <f t="shared" ca="1" si="6"/>
        <v>0</v>
      </c>
      <c r="K17" s="309">
        <f t="shared" ca="1" si="7"/>
        <v>6765200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2</v>
      </c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20">
        <v>2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4"/>
        <v>0</v>
      </c>
      <c r="I18" s="308">
        <f t="shared" ca="1" si="5"/>
        <v>0</v>
      </c>
      <c r="J18" s="308">
        <f t="shared" ca="1" si="6"/>
        <v>20133.333333333336</v>
      </c>
      <c r="K18" s="309">
        <f t="shared" ca="1" si="7"/>
        <v>20133.333333333336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4"/>
        <v>0</v>
      </c>
      <c r="I19" s="308">
        <f t="shared" ca="1" si="5"/>
        <v>0</v>
      </c>
      <c r="J19" s="308">
        <f t="shared" ca="1" si="6"/>
        <v>0</v>
      </c>
      <c r="K19" s="309">
        <f t="shared" ca="1" si="7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14" t="s">
        <v>1035</v>
      </c>
      <c r="C20" s="515" t="s">
        <v>1625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2">
        <v>6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4"/>
        <v>0</v>
      </c>
      <c r="I20" s="308">
        <f t="shared" ca="1" si="5"/>
        <v>0</v>
      </c>
      <c r="J20" s="308">
        <f t="shared" ca="1" si="6"/>
        <v>0</v>
      </c>
      <c r="K20" s="309">
        <f t="shared" ca="1" si="7"/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14">
        <v>1</v>
      </c>
      <c r="C21" s="515" t="s">
        <v>595</v>
      </c>
      <c r="D21" s="305" t="str">
        <f ca="1">IF(ISERROR(OFFSET('HARGA SATUAN'!$D$6,MATCH(RAB!C21,'HARGA SATUAN'!$C$7:$C$1495,0),0)),"",OFFSET('HARGA SATUAN'!$D$6,MATCH(RAB!C21,'HARGA SATUAN'!$C$7:$C$1495,0),0))</f>
        <v>HDW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2">
        <f>F20*1</f>
        <v>6</v>
      </c>
      <c r="G21" s="307">
        <f ca="1">IF(ISERROR(OFFSET('HARGA SATUAN'!$I$6,MATCH(RAB!C21,'HARGA SATUAN'!$C$7:$C$1495,0),0)),0,OFFSET('HARGA SATUAN'!$I$6,MATCH(RAB!C21,'HARGA SATUAN'!$C$7:$C$1495,0),0))</f>
        <v>78500</v>
      </c>
      <c r="H21" s="308">
        <f t="shared" ca="1" si="4"/>
        <v>0</v>
      </c>
      <c r="I21" s="308">
        <f t="shared" ca="1" si="5"/>
        <v>471000</v>
      </c>
      <c r="J21" s="308">
        <f t="shared" ca="1" si="6"/>
        <v>0</v>
      </c>
      <c r="K21" s="309">
        <f t="shared" ca="1" si="7"/>
        <v>471000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14">
        <v>2</v>
      </c>
      <c r="C22" s="515" t="s">
        <v>229</v>
      </c>
      <c r="D22" s="305" t="str">
        <f ca="1">IF(ISERROR(OFFSET('HARGA SATUAN'!$D$6,MATCH(RAB!C22,'HARGA SATUAN'!$C$7:$C$1495,0),0)),"",OFFSET('HARGA SATUAN'!$D$6,MATCH(RAB!C22,'HARGA SATUAN'!$C$7:$C$1495,0),0))</f>
        <v>HDW</v>
      </c>
      <c r="E22" s="306" t="str">
        <f ca="1">IF(B22="+","Unit",IF(ISERROR(OFFSET('HARGA SATUAN'!$E$6,MATCH(RAB!C22,'HARGA SATUAN'!$C$7:$C$1495,0),0)),"",OFFSET('HARGA SATUAN'!$E$6,MATCH(RAB!C22,'HARGA SATUAN'!$C$7:$C$1495,0),0)))</f>
        <v>Bh</v>
      </c>
      <c r="F22" s="452">
        <f>F20*1</f>
        <v>6</v>
      </c>
      <c r="G22" s="307">
        <f ca="1">IF(ISERROR(OFFSET('HARGA SATUAN'!$I$6,MATCH(RAB!C22,'HARGA SATUAN'!$C$7:$C$1495,0),0)),0,OFFSET('HARGA SATUAN'!$I$6,MATCH(RAB!C22,'HARGA SATUAN'!$C$7:$C$1495,0),0))</f>
        <v>4212</v>
      </c>
      <c r="H22" s="308">
        <f t="shared" ca="1" si="4"/>
        <v>0</v>
      </c>
      <c r="I22" s="308">
        <f t="shared" ca="1" si="5"/>
        <v>25272</v>
      </c>
      <c r="J22" s="308">
        <f t="shared" ca="1" si="6"/>
        <v>0</v>
      </c>
      <c r="K22" s="309">
        <f t="shared" ca="1" si="7"/>
        <v>25272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14">
        <v>3</v>
      </c>
      <c r="C23" s="515" t="s">
        <v>266</v>
      </c>
      <c r="D23" s="305" t="str">
        <f ca="1">IF(ISERROR(OFFSET('HARGA SATUAN'!$D$6,MATCH(RAB!C23,'HARGA SATUAN'!$C$7:$C$1495,0),0)),"",OFFSET('HARGA SATUAN'!$D$6,MATCH(RAB!C23,'HARGA SATUAN'!$C$7:$C$1495,0),0))</f>
        <v>HDW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2">
        <f>F20*1</f>
        <v>6</v>
      </c>
      <c r="G23" s="307">
        <f ca="1">IF(ISERROR(OFFSET('HARGA SATUAN'!$I$6,MATCH(RAB!C23,'HARGA SATUAN'!$C$7:$C$1495,0),0)),0,OFFSET('HARGA SATUAN'!$I$6,MATCH(RAB!C23,'HARGA SATUAN'!$C$7:$C$1495,0),0))</f>
        <v>23310</v>
      </c>
      <c r="H23" s="308">
        <f t="shared" ca="1" si="4"/>
        <v>0</v>
      </c>
      <c r="I23" s="308">
        <f t="shared" ca="1" si="5"/>
        <v>139860</v>
      </c>
      <c r="J23" s="308">
        <f t="shared" ca="1" si="6"/>
        <v>0</v>
      </c>
      <c r="K23" s="309">
        <f t="shared" ca="1" si="7"/>
        <v>139860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14">
        <v>4</v>
      </c>
      <c r="C24" s="515" t="s">
        <v>35</v>
      </c>
      <c r="D24" s="305" t="str">
        <f ca="1">IF(ISERROR(OFFSET('HARGA SATUAN'!$D$6,MATCH(RAB!C24,'HARGA SATUAN'!$C$7:$C$1495,0),0)),"",OFFSET('HARGA SATUAN'!$D$6,MATCH(RAB!C24,'HARGA SATUAN'!$C$7:$C$1495,0),0))</f>
        <v>HDW</v>
      </c>
      <c r="E24" s="306" t="str">
        <f ca="1">IF(B24="+","Unit",IF(ISERROR(OFFSET('HARGA SATUAN'!$E$6,MATCH(RAB!C24,'HARGA SATUAN'!$C$7:$C$1495,0),0)),"",OFFSET('HARGA SATUAN'!$E$6,MATCH(RAB!C24,'HARGA SATUAN'!$C$7:$C$1495,0),0)))</f>
        <v>Bh</v>
      </c>
      <c r="F24" s="452">
        <f>F20*1</f>
        <v>6</v>
      </c>
      <c r="G24" s="307">
        <f ca="1">IF(ISERROR(OFFSET('HARGA SATUAN'!$I$6,MATCH(RAB!C24,'HARGA SATUAN'!$C$7:$C$1495,0),0)),0,OFFSET('HARGA SATUAN'!$I$6,MATCH(RAB!C24,'HARGA SATUAN'!$C$7:$C$1495,0),0))</f>
        <v>2300</v>
      </c>
      <c r="H24" s="308">
        <f t="shared" ca="1" si="4"/>
        <v>0</v>
      </c>
      <c r="I24" s="308">
        <f t="shared" ca="1" si="5"/>
        <v>13800</v>
      </c>
      <c r="J24" s="308">
        <f t="shared" ca="1" si="6"/>
        <v>0</v>
      </c>
      <c r="K24" s="309">
        <f t="shared" ca="1" si="7"/>
        <v>13800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14">
        <v>5</v>
      </c>
      <c r="C25" s="515" t="s">
        <v>630</v>
      </c>
      <c r="D25" s="305" t="str">
        <f ca="1">IF(ISERROR(OFFSET('HARGA SATUAN'!$D$6,MATCH(RAB!C25,'HARGA SATUAN'!$C$7:$C$1495,0),0)),"",OFFSET('HARGA SATUAN'!$D$6,MATCH(RAB!C25,'HARGA SATUAN'!$C$7:$C$1495,0),0))</f>
        <v>JASA</v>
      </c>
      <c r="E25" s="306" t="str">
        <f ca="1">IF(B25="+","Unit",IF(ISERROR(OFFSET('HARGA SATUAN'!$E$6,MATCH(RAB!C25,'HARGA SATUAN'!$C$7:$C$1495,0),0)),"",OFFSET('HARGA SATUAN'!$E$6,MATCH(RAB!C25,'HARGA SATUAN'!$C$7:$C$1495,0),0)))</f>
        <v>Unit</v>
      </c>
      <c r="F25" s="452">
        <f>F20*1</f>
        <v>6</v>
      </c>
      <c r="G25" s="307">
        <f ca="1">IF(ISERROR(OFFSET('HARGA SATUAN'!$I$6,MATCH(RAB!C25,'HARGA SATUAN'!$C$7:$C$1495,0),0)),0,OFFSET('HARGA SATUAN'!$I$6,MATCH(RAB!C25,'HARGA SATUAN'!$C$7:$C$1495,0),0))</f>
        <v>35700</v>
      </c>
      <c r="H25" s="308">
        <f t="shared" ca="1" si="4"/>
        <v>0</v>
      </c>
      <c r="I25" s="308">
        <f t="shared" ca="1" si="5"/>
        <v>0</v>
      </c>
      <c r="J25" s="308">
        <f t="shared" ca="1" si="6"/>
        <v>214200</v>
      </c>
      <c r="K25" s="309">
        <f t="shared" ca="1" si="7"/>
        <v>214200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14"/>
      <c r="C26" s="515"/>
      <c r="D26" s="305" t="str">
        <f ca="1">IF(ISERROR(OFFSET('HARGA SATUAN'!$D$6,MATCH(RAB!C26,'HARGA SATUAN'!$C$7:$C$1495,0),0)),"",OFFSET('HARGA SATUAN'!$D$6,MATCH(RAB!C26,'HARGA SATUAN'!$C$7:$C$1495,0),0))</f>
        <v/>
      </c>
      <c r="E26" s="306" t="str">
        <f ca="1">IF(B26="+","Unit",IF(ISERROR(OFFSET('HARGA SATUAN'!$E$6,MATCH(RAB!C26,'HARGA SATUAN'!$C$7:$C$1495,0),0)),"",OFFSET('HARGA SATUAN'!$E$6,MATCH(RAB!C26,'HARGA SATUAN'!$C$7:$C$1495,0),0)))</f>
        <v/>
      </c>
      <c r="F26" s="452"/>
      <c r="G26" s="307">
        <f ca="1">IF(ISERROR(OFFSET('HARGA SATUAN'!$I$6,MATCH(RAB!C26,'HARGA SATUAN'!$C$7:$C$1495,0),0)),0,OFFSET('HARGA SATUAN'!$I$6,MATCH(RAB!C26,'HARGA SATUAN'!$C$7:$C$1495,0),0))</f>
        <v>0</v>
      </c>
      <c r="H26" s="308">
        <f t="shared" ca="1" si="4"/>
        <v>0</v>
      </c>
      <c r="I26" s="308">
        <f t="shared" ca="1" si="5"/>
        <v>0</v>
      </c>
      <c r="J26" s="308">
        <f t="shared" ca="1" si="6"/>
        <v>0</v>
      </c>
      <c r="K26" s="309">
        <f t="shared" ca="1" si="7"/>
        <v>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17" t="s">
        <v>1035</v>
      </c>
      <c r="C27" s="718" t="s">
        <v>1635</v>
      </c>
      <c r="D27" s="305" t="str">
        <f ca="1">IF(ISERROR(OFFSET('HARGA SATUAN'!$D$6,MATCH(RAB!C27,'HARGA SATUAN'!$C$7:$C$1495,0),0)),"",OFFSET('HARGA SATUAN'!$D$6,MATCH(RAB!C27,'HARGA SATUAN'!$C$7:$C$1495,0),0))</f>
        <v/>
      </c>
      <c r="E27" s="306" t="str">
        <f ca="1">IF(B27="+","Unit",IF(ISERROR(OFFSET('HARGA SATUAN'!$E$6,MATCH(RAB!C27,'HARGA SATUAN'!$C$7:$C$1495,0),0)),"",OFFSET('HARGA SATUAN'!$E$6,MATCH(RAB!C27,'HARGA SATUAN'!$C$7:$C$1495,0),0)))</f>
        <v>Unit</v>
      </c>
      <c r="F27" s="452">
        <v>5</v>
      </c>
      <c r="G27" s="307">
        <f ca="1">IF(ISERROR(OFFSET('HARGA SATUAN'!$I$6,MATCH(RAB!C27,'HARGA SATUAN'!$C$7:$C$1495,0),0)),0,OFFSET('HARGA SATUAN'!$I$6,MATCH(RAB!C27,'HARGA SATUAN'!$C$7:$C$1495,0),0))</f>
        <v>0</v>
      </c>
      <c r="H27" s="308">
        <f t="shared" ca="1" si="4"/>
        <v>0</v>
      </c>
      <c r="I27" s="308">
        <f t="shared" ca="1" si="5"/>
        <v>0</v>
      </c>
      <c r="J27" s="308">
        <f t="shared" ca="1" si="6"/>
        <v>0</v>
      </c>
      <c r="K27" s="309">
        <f t="shared" ca="1" si="7"/>
        <v>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17">
        <v>1</v>
      </c>
      <c r="C28" s="718" t="s">
        <v>229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2">
        <f>F27*1</f>
        <v>5</v>
      </c>
      <c r="G28" s="307">
        <f ca="1">IF(ISERROR(OFFSET('HARGA SATUAN'!$I$6,MATCH(RAB!C28,'HARGA SATUAN'!$C$7:$C$1495,0),0)),0,OFFSET('HARGA SATUAN'!$I$6,MATCH(RAB!C28,'HARGA SATUAN'!$C$7:$C$1495,0),0))</f>
        <v>4212</v>
      </c>
      <c r="H28" s="308">
        <f t="shared" ca="1" si="4"/>
        <v>0</v>
      </c>
      <c r="I28" s="308">
        <f t="shared" ca="1" si="5"/>
        <v>21060</v>
      </c>
      <c r="J28" s="308">
        <f t="shared" ca="1" si="6"/>
        <v>0</v>
      </c>
      <c r="K28" s="309">
        <f t="shared" ca="1" si="7"/>
        <v>21060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17">
        <v>2</v>
      </c>
      <c r="C29" s="718" t="s">
        <v>266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Mtr</v>
      </c>
      <c r="F29" s="452">
        <f>F27*1</f>
        <v>5</v>
      </c>
      <c r="G29" s="307">
        <f ca="1">IF(ISERROR(OFFSET('HARGA SATUAN'!$I$6,MATCH(RAB!C29,'HARGA SATUAN'!$C$7:$C$1495,0),0)),0,OFFSET('HARGA SATUAN'!$I$6,MATCH(RAB!C29,'HARGA SATUAN'!$C$7:$C$1495,0),0))</f>
        <v>23310</v>
      </c>
      <c r="H29" s="308">
        <f t="shared" ca="1" si="4"/>
        <v>0</v>
      </c>
      <c r="I29" s="308">
        <f t="shared" ca="1" si="5"/>
        <v>116550</v>
      </c>
      <c r="J29" s="308">
        <f t="shared" ca="1" si="6"/>
        <v>0</v>
      </c>
      <c r="K29" s="309">
        <f t="shared" ca="1" si="7"/>
        <v>116550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17">
        <v>3</v>
      </c>
      <c r="C30" s="718" t="s">
        <v>35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2">
        <f>F27*1</f>
        <v>5</v>
      </c>
      <c r="G30" s="307">
        <f ca="1">IF(ISERROR(OFFSET('HARGA SATUAN'!$I$6,MATCH(RAB!C30,'HARGA SATUAN'!$C$7:$C$1495,0),0)),0,OFFSET('HARGA SATUAN'!$I$6,MATCH(RAB!C30,'HARGA SATUAN'!$C$7:$C$1495,0),0))</f>
        <v>2300</v>
      </c>
      <c r="H30" s="308">
        <f t="shared" ca="1" si="4"/>
        <v>0</v>
      </c>
      <c r="I30" s="308">
        <f t="shared" ca="1" si="5"/>
        <v>11500</v>
      </c>
      <c r="J30" s="308">
        <f t="shared" ca="1" si="6"/>
        <v>0</v>
      </c>
      <c r="K30" s="309">
        <f t="shared" ca="1" si="7"/>
        <v>11500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17">
        <v>4</v>
      </c>
      <c r="C31" s="718" t="s">
        <v>609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2">
        <f>F27*1</f>
        <v>5</v>
      </c>
      <c r="G31" s="307">
        <f ca="1">IF(ISERROR(OFFSET('HARGA SATUAN'!$I$6,MATCH(RAB!C31,'HARGA SATUAN'!$C$7:$C$1495,0),0)),0,OFFSET('HARGA SATUAN'!$I$6,MATCH(RAB!C31,'HARGA SATUAN'!$C$7:$C$1495,0),0))</f>
        <v>71000</v>
      </c>
      <c r="H31" s="308">
        <f t="shared" ca="1" si="4"/>
        <v>0</v>
      </c>
      <c r="I31" s="308">
        <f t="shared" ca="1" si="5"/>
        <v>355000</v>
      </c>
      <c r="J31" s="308">
        <f t="shared" ca="1" si="6"/>
        <v>0</v>
      </c>
      <c r="K31" s="309">
        <f t="shared" ca="1" si="7"/>
        <v>355000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17">
        <v>5</v>
      </c>
      <c r="C32" s="718" t="s">
        <v>629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2">
        <f>F27*1</f>
        <v>5</v>
      </c>
      <c r="G32" s="307">
        <f ca="1">IF(ISERROR(OFFSET('HARGA SATUAN'!$I$6,MATCH(RAB!C32,'HARGA SATUAN'!$C$7:$C$1495,0),0)),0,OFFSET('HARGA SATUAN'!$I$6,MATCH(RAB!C32,'HARGA SATUAN'!$C$7:$C$1495,0),0))</f>
        <v>29400</v>
      </c>
      <c r="H32" s="308">
        <f t="shared" ca="1" si="4"/>
        <v>0</v>
      </c>
      <c r="I32" s="308">
        <f t="shared" ca="1" si="5"/>
        <v>0</v>
      </c>
      <c r="J32" s="308">
        <f t="shared" ca="1" si="6"/>
        <v>147000</v>
      </c>
      <c r="K32" s="309">
        <f t="shared" ca="1" si="7"/>
        <v>147000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14"/>
      <c r="C33" s="515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2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4"/>
        <v>0</v>
      </c>
      <c r="I33" s="308">
        <f t="shared" ca="1" si="5"/>
        <v>0</v>
      </c>
      <c r="J33" s="308">
        <f t="shared" ca="1" si="6"/>
        <v>0</v>
      </c>
      <c r="K33" s="309">
        <f t="shared" ca="1" si="7"/>
        <v>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17" t="s">
        <v>1035</v>
      </c>
      <c r="C34" s="718" t="s">
        <v>1655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2">
        <v>1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4"/>
        <v>0</v>
      </c>
      <c r="I34" s="308">
        <f t="shared" ca="1" si="5"/>
        <v>0</v>
      </c>
      <c r="J34" s="308">
        <f t="shared" ca="1" si="6"/>
        <v>0</v>
      </c>
      <c r="K34" s="309">
        <f t="shared" ca="1" si="7"/>
        <v>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17">
        <v>1</v>
      </c>
      <c r="C35" s="109" t="s">
        <v>1146</v>
      </c>
      <c r="D35" s="305" t="str">
        <f ca="1">IF(ISERROR(OFFSET('HARGA SATUAN'!$D$6,MATCH(RAB!C35,'HARGA SATUAN'!$C$7:$C$1495,0),0)),"",OFFSET('HARGA SATUAN'!$D$6,MATCH(RAB!C35,'HARGA SATUAN'!$C$7:$C$1495,0),0))</f>
        <v>MDU-KD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2">
        <f>F34*1</f>
        <v>1</v>
      </c>
      <c r="G35" s="307">
        <f ca="1">IF(ISERROR(OFFSET('HARGA SATUAN'!$I$6,MATCH(RAB!C35,'HARGA SATUAN'!$C$7:$C$1495,0),0)),0,OFFSET('HARGA SATUAN'!$I$6,MATCH(RAB!C35,'HARGA SATUAN'!$C$7:$C$1495,0),0))</f>
        <v>56838600</v>
      </c>
      <c r="H35" s="308">
        <f t="shared" ca="1" si="4"/>
        <v>56838600</v>
      </c>
      <c r="I35" s="308">
        <f t="shared" ca="1" si="5"/>
        <v>0</v>
      </c>
      <c r="J35" s="308">
        <f t="shared" ca="1" si="6"/>
        <v>0</v>
      </c>
      <c r="K35" s="309">
        <f t="shared" ca="1" si="7"/>
        <v>56838600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19">
        <v>2</v>
      </c>
      <c r="C36" s="720" t="s">
        <v>1656</v>
      </c>
      <c r="D36" s="305" t="str">
        <f ca="1">IF(ISERROR(OFFSET('HARGA SATUAN'!$D$6,MATCH(RAB!C36,'HARGA SATUAN'!$C$7:$C$1495,0),0)),"",OFFSET('HARGA SATUAN'!$D$6,MATCH(RAB!C36,'HARGA SATUAN'!$C$7:$C$1495,0),0))</f>
        <v/>
      </c>
      <c r="E36" s="306" t="str">
        <f ca="1">IF(B36="+","Unit",IF(ISERROR(OFFSET('HARGA SATUAN'!$E$6,MATCH(RAB!C36,'HARGA SATUAN'!$C$7:$C$1495,0),0)),"",OFFSET('HARGA SATUAN'!$E$6,MATCH(RAB!C36,'HARGA SATUAN'!$C$7:$C$1495,0),0)))</f>
        <v/>
      </c>
      <c r="F36" s="454"/>
      <c r="G36" s="307">
        <f ca="1">IF(ISERROR(OFFSET('HARGA SATUAN'!$I$6,MATCH(RAB!C36,'HARGA SATUAN'!$C$7:$C$1495,0),0)),0,OFFSET('HARGA SATUAN'!$I$6,MATCH(RAB!C36,'HARGA SATUAN'!$C$7:$C$1495,0),0))</f>
        <v>0</v>
      </c>
      <c r="H36" s="308">
        <f t="shared" ca="1" si="4"/>
        <v>0</v>
      </c>
      <c r="I36" s="308">
        <f t="shared" ca="1" si="5"/>
        <v>0</v>
      </c>
      <c r="J36" s="308">
        <f t="shared" ca="1" si="6"/>
        <v>0</v>
      </c>
      <c r="K36" s="309">
        <f t="shared" ca="1" si="7"/>
        <v>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17"/>
      <c r="C37" s="720" t="s">
        <v>65</v>
      </c>
      <c r="D37" s="305" t="str">
        <f ca="1">IF(ISERROR(OFFSET('HARGA SATUAN'!$D$6,MATCH(RAB!C37,'HARGA SATUAN'!$C$7:$C$1495,0),0)),"",OFFSET('HARGA SATUAN'!$D$6,MATCH(RAB!C37,'HARGA SATUAN'!$C$7:$C$1495,0),0))</f>
        <v>MDU-KD</v>
      </c>
      <c r="E37" s="306" t="str">
        <f ca="1">IF(B37="+","Unit",IF(ISERROR(OFFSET('HARGA SATUAN'!$E$6,MATCH(RAB!C37,'HARGA SATUAN'!$C$7:$C$1495,0),0)),"",OFFSET('HARGA SATUAN'!$E$6,MATCH(RAB!C37,'HARGA SATUAN'!$C$7:$C$1495,0),0)))</f>
        <v>Mtr</v>
      </c>
      <c r="F37" s="452">
        <f>F34*(3*3)</f>
        <v>9</v>
      </c>
      <c r="G37" s="307">
        <f ca="1">IF(ISERROR(OFFSET('HARGA SATUAN'!$I$6,MATCH(RAB!C37,'HARGA SATUAN'!$C$7:$C$1495,0),0)),0,OFFSET('HARGA SATUAN'!$I$6,MATCH(RAB!C37,'HARGA SATUAN'!$C$7:$C$1495,0),0))</f>
        <v>14200</v>
      </c>
      <c r="H37" s="308">
        <f t="shared" ca="1" si="4"/>
        <v>127800</v>
      </c>
      <c r="I37" s="308">
        <f t="shared" ca="1" si="5"/>
        <v>0</v>
      </c>
      <c r="J37" s="308">
        <f t="shared" ca="1" si="6"/>
        <v>0</v>
      </c>
      <c r="K37" s="309">
        <f t="shared" ca="1" si="7"/>
        <v>127800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17"/>
      <c r="C38" s="720" t="s">
        <v>1657</v>
      </c>
      <c r="D38" s="305" t="str">
        <f ca="1">IF(ISERROR(OFFSET('HARGA SATUAN'!$D$6,MATCH(RAB!C38,'HARGA SATUAN'!$C$7:$C$1495,0),0)),"",OFFSET('HARGA SATUAN'!$D$6,MATCH(RAB!C38,'HARGA SATUAN'!$C$7:$C$1495,0),0))</f>
        <v/>
      </c>
      <c r="E38" s="306" t="str">
        <f ca="1">IF(B38="+","Unit",IF(ISERROR(OFFSET('HARGA SATUAN'!$E$6,MATCH(RAB!C38,'HARGA SATUAN'!$C$7:$C$1495,0),0)),"",OFFSET('HARGA SATUAN'!$E$6,MATCH(RAB!C38,'HARGA SATUAN'!$C$7:$C$1495,0),0)))</f>
        <v/>
      </c>
      <c r="F38" s="452">
        <f>F34*3</f>
        <v>3</v>
      </c>
      <c r="G38" s="307">
        <f ca="1">IF(ISERROR(OFFSET('HARGA SATUAN'!$I$6,MATCH(RAB!C38,'HARGA SATUAN'!$C$7:$C$1495,0),0)),0,OFFSET('HARGA SATUAN'!$I$6,MATCH(RAB!C38,'HARGA SATUAN'!$C$7:$C$1495,0),0))</f>
        <v>0</v>
      </c>
      <c r="H38" s="308">
        <f t="shared" ca="1" si="4"/>
        <v>0</v>
      </c>
      <c r="I38" s="308">
        <f t="shared" ca="1" si="5"/>
        <v>0</v>
      </c>
      <c r="J38" s="308">
        <f t="shared" ca="1" si="6"/>
        <v>0</v>
      </c>
      <c r="K38" s="309">
        <f t="shared" ca="1" si="7"/>
        <v>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717">
        <v>3</v>
      </c>
      <c r="C39" s="109" t="s">
        <v>559</v>
      </c>
      <c r="D39" s="305" t="str">
        <f ca="1">IF(ISERROR(OFFSET('HARGA SATUAN'!$D$6,MATCH(RAB!C39,'HARGA SATUAN'!$C$7:$C$1495,0),0)),"",OFFSET('HARGA SATUAN'!$D$6,MATCH(RAB!C39,'HARGA SATUAN'!$C$7:$C$1495,0),0))</f>
        <v>MDU-KD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2">
        <f>F34*3</f>
        <v>3</v>
      </c>
      <c r="G39" s="307">
        <f ca="1">IF(ISERROR(OFFSET('HARGA SATUAN'!$I$6,MATCH(RAB!C39,'HARGA SATUAN'!$C$7:$C$1495,0),0)),0,OFFSET('HARGA SATUAN'!$I$6,MATCH(RAB!C39,'HARGA SATUAN'!$C$7:$C$1495,0),0))</f>
        <v>725900</v>
      </c>
      <c r="H39" s="308">
        <f t="shared" ca="1" si="4"/>
        <v>2177700</v>
      </c>
      <c r="I39" s="308">
        <f t="shared" ca="1" si="5"/>
        <v>0</v>
      </c>
      <c r="J39" s="308">
        <f t="shared" ca="1" si="6"/>
        <v>0</v>
      </c>
      <c r="K39" s="309">
        <f t="shared" ca="1" si="7"/>
        <v>2177700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717">
        <v>4</v>
      </c>
      <c r="C40" s="718" t="s">
        <v>535</v>
      </c>
      <c r="D40" s="305" t="str">
        <f ca="1">IF(ISERROR(OFFSET('HARGA SATUAN'!$D$6,MATCH(RAB!C40,'HARGA SATUAN'!$C$7:$C$1495,0),0)),"",OFFSET('HARGA SATUAN'!$D$6,MATCH(RAB!C40,'HARGA SATUAN'!$C$7:$C$1495,0),0))</f>
        <v>MDU-KD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2">
        <f>F34*3</f>
        <v>3</v>
      </c>
      <c r="G40" s="307">
        <f ca="1">IF(ISERROR(OFFSET('HARGA SATUAN'!$I$6,MATCH(RAB!C40,'HARGA SATUAN'!$C$7:$C$1495,0),0)),0,OFFSET('HARGA SATUAN'!$I$6,MATCH(RAB!C40,'HARGA SATUAN'!$C$7:$C$1495,0),0))</f>
        <v>848250</v>
      </c>
      <c r="H40" s="308">
        <f t="shared" ca="1" si="4"/>
        <v>2544750</v>
      </c>
      <c r="I40" s="308">
        <f t="shared" ca="1" si="5"/>
        <v>0</v>
      </c>
      <c r="J40" s="308">
        <f t="shared" ca="1" si="6"/>
        <v>0</v>
      </c>
      <c r="K40" s="309">
        <f t="shared" ca="1" si="7"/>
        <v>2544750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717">
        <v>5</v>
      </c>
      <c r="C41" s="718" t="s">
        <v>55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2">
        <f>F34*3</f>
        <v>3</v>
      </c>
      <c r="G41" s="307">
        <f ca="1">IF(ISERROR(OFFSET('HARGA SATUAN'!$I$6,MATCH(RAB!C41,'HARGA SATUAN'!$C$7:$C$1495,0),0)),0,OFFSET('HARGA SATUAN'!$I$6,MATCH(RAB!C41,'HARGA SATUAN'!$C$7:$C$1495,0),0))</f>
        <v>18000</v>
      </c>
      <c r="H41" s="308">
        <f t="shared" ca="1" si="4"/>
        <v>0</v>
      </c>
      <c r="I41" s="308">
        <f t="shared" ca="1" si="5"/>
        <v>54000</v>
      </c>
      <c r="J41" s="308">
        <f t="shared" ca="1" si="6"/>
        <v>0</v>
      </c>
      <c r="K41" s="309">
        <f t="shared" ca="1" si="7"/>
        <v>54000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717">
        <v>6</v>
      </c>
      <c r="C42" s="718" t="s">
        <v>1615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2">
        <f>F34*13</f>
        <v>13</v>
      </c>
      <c r="G42" s="307">
        <f ca="1">IF(ISERROR(OFFSET('HARGA SATUAN'!$I$6,MATCH(RAB!C42,'HARGA SATUAN'!$C$7:$C$1495,0),0)),0,OFFSET('HARGA SATUAN'!$I$6,MATCH(RAB!C42,'HARGA SATUAN'!$C$7:$C$1495,0),0))</f>
        <v>49000</v>
      </c>
      <c r="H42" s="308">
        <f t="shared" ca="1" si="4"/>
        <v>0</v>
      </c>
      <c r="I42" s="308">
        <f t="shared" ca="1" si="5"/>
        <v>637000</v>
      </c>
      <c r="J42" s="308">
        <f t="shared" ca="1" si="6"/>
        <v>0</v>
      </c>
      <c r="K42" s="309">
        <f t="shared" ca="1" si="7"/>
        <v>637000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717">
        <v>7</v>
      </c>
      <c r="C43" s="718" t="s">
        <v>163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2">
        <f>F34*22</f>
        <v>22</v>
      </c>
      <c r="G43" s="307">
        <f ca="1">IF(ISERROR(OFFSET('HARGA SATUAN'!$I$6,MATCH(RAB!C43,'HARGA SATUAN'!$C$7:$C$1495,0),0)),0,OFFSET('HARGA SATUAN'!$I$6,MATCH(RAB!C43,'HARGA SATUAN'!$C$7:$C$1495,0),0))</f>
        <v>7938</v>
      </c>
      <c r="H43" s="308">
        <f t="shared" ca="1" si="4"/>
        <v>0</v>
      </c>
      <c r="I43" s="308">
        <f t="shared" ca="1" si="5"/>
        <v>174636</v>
      </c>
      <c r="J43" s="308">
        <f t="shared" ca="1" si="6"/>
        <v>0</v>
      </c>
      <c r="K43" s="309">
        <f t="shared" ca="1" si="7"/>
        <v>174636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717">
        <v>8</v>
      </c>
      <c r="C44" s="718" t="s">
        <v>176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2">
        <f>F34*1</f>
        <v>1</v>
      </c>
      <c r="G44" s="307">
        <f ca="1">IF(ISERROR(OFFSET('HARGA SATUAN'!$I$6,MATCH(RAB!C44,'HARGA SATUAN'!$C$7:$C$1495,0),0)),0,OFFSET('HARGA SATUAN'!$I$6,MATCH(RAB!C44,'HARGA SATUAN'!$C$7:$C$1495,0),0))</f>
        <v>404600</v>
      </c>
      <c r="H44" s="308">
        <f t="shared" ca="1" si="4"/>
        <v>0</v>
      </c>
      <c r="I44" s="308">
        <f t="shared" ca="1" si="5"/>
        <v>404600</v>
      </c>
      <c r="J44" s="308">
        <f t="shared" ca="1" si="6"/>
        <v>0</v>
      </c>
      <c r="K44" s="309">
        <f t="shared" ca="1" si="7"/>
        <v>404600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717">
        <v>9</v>
      </c>
      <c r="C45" s="718" t="s">
        <v>184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2">
        <f>F34*3</f>
        <v>3</v>
      </c>
      <c r="G45" s="307">
        <f ca="1">IF(ISERROR(OFFSET('HARGA SATUAN'!$I$6,MATCH(RAB!C45,'HARGA SATUAN'!$C$7:$C$1495,0),0)),0,OFFSET('HARGA SATUAN'!$I$6,MATCH(RAB!C45,'HARGA SATUAN'!$C$7:$C$1495,0),0))</f>
        <v>15900</v>
      </c>
      <c r="H45" s="308">
        <f t="shared" ca="1" si="4"/>
        <v>0</v>
      </c>
      <c r="I45" s="308">
        <f t="shared" ca="1" si="5"/>
        <v>47700</v>
      </c>
      <c r="J45" s="308">
        <f t="shared" ca="1" si="6"/>
        <v>0</v>
      </c>
      <c r="K45" s="309">
        <f t="shared" ca="1" si="7"/>
        <v>47700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717">
        <v>10</v>
      </c>
      <c r="C46" s="718" t="s">
        <v>592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52">
        <f>F34*5</f>
        <v>5</v>
      </c>
      <c r="G46" s="307">
        <f ca="1">IF(ISERROR(OFFSET('HARGA SATUAN'!$I$6,MATCH(RAB!C46,'HARGA SATUAN'!$C$7:$C$1495,0),0)),0,OFFSET('HARGA SATUAN'!$I$6,MATCH(RAB!C46,'HARGA SATUAN'!$C$7:$C$1495,0),0))</f>
        <v>283100</v>
      </c>
      <c r="H46" s="308">
        <f t="shared" ca="1" si="4"/>
        <v>0</v>
      </c>
      <c r="I46" s="308">
        <f t="shared" ca="1" si="5"/>
        <v>1415500</v>
      </c>
      <c r="J46" s="308">
        <f t="shared" ca="1" si="6"/>
        <v>0</v>
      </c>
      <c r="K46" s="309">
        <f t="shared" ca="1" si="7"/>
        <v>1415500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717">
        <v>11</v>
      </c>
      <c r="C47" s="718" t="s">
        <v>593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52">
        <f>F34*4</f>
        <v>4</v>
      </c>
      <c r="G47" s="307">
        <f ca="1">IF(ISERROR(OFFSET('HARGA SATUAN'!$I$6,MATCH(RAB!C47,'HARGA SATUAN'!$C$7:$C$1495,0),0)),0,OFFSET('HARGA SATUAN'!$I$6,MATCH(RAB!C47,'HARGA SATUAN'!$C$7:$C$1495,0),0))</f>
        <v>380500</v>
      </c>
      <c r="H47" s="308">
        <f t="shared" ca="1" si="4"/>
        <v>0</v>
      </c>
      <c r="I47" s="308">
        <f t="shared" ca="1" si="5"/>
        <v>1522000</v>
      </c>
      <c r="J47" s="308">
        <f t="shared" ca="1" si="6"/>
        <v>0</v>
      </c>
      <c r="K47" s="309">
        <f t="shared" ca="1" si="7"/>
        <v>1522000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17">
        <v>12</v>
      </c>
      <c r="C48" s="718" t="s">
        <v>208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52">
        <f>F34*3</f>
        <v>3</v>
      </c>
      <c r="G48" s="307">
        <f ca="1">IF(ISERROR(OFFSET('HARGA SATUAN'!$I$6,MATCH(RAB!C48,'HARGA SATUAN'!$C$7:$C$1495,0),0)),0,OFFSET('HARGA SATUAN'!$I$6,MATCH(RAB!C48,'HARGA SATUAN'!$C$7:$C$1495,0),0))</f>
        <v>173400</v>
      </c>
      <c r="H48" s="308">
        <f t="shared" ca="1" si="4"/>
        <v>0</v>
      </c>
      <c r="I48" s="308">
        <f t="shared" ca="1" si="5"/>
        <v>520200</v>
      </c>
      <c r="J48" s="308">
        <f t="shared" ca="1" si="6"/>
        <v>0</v>
      </c>
      <c r="K48" s="309">
        <f t="shared" ca="1" si="7"/>
        <v>520200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17">
        <v>13</v>
      </c>
      <c r="C49" s="718" t="s">
        <v>247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52">
        <f>F34*1</f>
        <v>1</v>
      </c>
      <c r="G49" s="307">
        <f ca="1">IF(ISERROR(OFFSET('HARGA SATUAN'!$I$6,MATCH(RAB!C49,'HARGA SATUAN'!$C$7:$C$1495,0),0)),0,OFFSET('HARGA SATUAN'!$I$6,MATCH(RAB!C49,'HARGA SATUAN'!$C$7:$C$1495,0),0))</f>
        <v>57690</v>
      </c>
      <c r="H49" s="308">
        <f t="shared" ca="1" si="4"/>
        <v>0</v>
      </c>
      <c r="I49" s="308">
        <f t="shared" ca="1" si="5"/>
        <v>57690</v>
      </c>
      <c r="J49" s="308">
        <f t="shared" ca="1" si="6"/>
        <v>0</v>
      </c>
      <c r="K49" s="309">
        <f t="shared" ca="1" si="7"/>
        <v>57690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17">
        <v>14</v>
      </c>
      <c r="C50" s="718" t="s">
        <v>234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52">
        <f>F34*2</f>
        <v>2</v>
      </c>
      <c r="G50" s="307">
        <f ca="1">IF(ISERROR(OFFSET('HARGA SATUAN'!$I$6,MATCH(RAB!C50,'HARGA SATUAN'!$C$7:$C$1495,0),0)),0,OFFSET('HARGA SATUAN'!$I$6,MATCH(RAB!C50,'HARGA SATUAN'!$C$7:$C$1495,0),0))</f>
        <v>67500</v>
      </c>
      <c r="H50" s="308">
        <f t="shared" ca="1" si="4"/>
        <v>0</v>
      </c>
      <c r="I50" s="308">
        <f t="shared" ca="1" si="5"/>
        <v>135000</v>
      </c>
      <c r="J50" s="308">
        <f t="shared" ca="1" si="6"/>
        <v>0</v>
      </c>
      <c r="K50" s="309">
        <f t="shared" ca="1" si="7"/>
        <v>135000</v>
      </c>
      <c r="L50" s="289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17">
        <v>15</v>
      </c>
      <c r="C51" s="718" t="s">
        <v>267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Bh</v>
      </c>
      <c r="F51" s="452">
        <f>F34*2</f>
        <v>2</v>
      </c>
      <c r="G51" s="307">
        <f ca="1">IF(ISERROR(OFFSET('HARGA SATUAN'!$I$6,MATCH(RAB!C51,'HARGA SATUAN'!$C$7:$C$1495,0),0)),0,OFFSET('HARGA SATUAN'!$I$6,MATCH(RAB!C51,'HARGA SATUAN'!$C$7:$C$1495,0),0))</f>
        <v>129000</v>
      </c>
      <c r="H51" s="308">
        <f t="shared" ca="1" si="4"/>
        <v>0</v>
      </c>
      <c r="I51" s="308">
        <f t="shared" ca="1" si="5"/>
        <v>258000</v>
      </c>
      <c r="J51" s="308">
        <f t="shared" ca="1" si="6"/>
        <v>0</v>
      </c>
      <c r="K51" s="309">
        <f t="shared" ca="1" si="7"/>
        <v>258000</v>
      </c>
      <c r="L51" s="289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17">
        <v>16</v>
      </c>
      <c r="C52" s="718" t="s">
        <v>607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52">
        <f>F34*4</f>
        <v>4</v>
      </c>
      <c r="G52" s="307">
        <f ca="1">IF(ISERROR(OFFSET('HARGA SATUAN'!$I$6,MATCH(RAB!C52,'HARGA SATUAN'!$C$7:$C$1495,0),0)),0,OFFSET('HARGA SATUAN'!$I$6,MATCH(RAB!C52,'HARGA SATUAN'!$C$7:$C$1495,0),0))</f>
        <v>250000</v>
      </c>
      <c r="H52" s="308">
        <f t="shared" ca="1" si="4"/>
        <v>0</v>
      </c>
      <c r="I52" s="308">
        <f t="shared" ca="1" si="5"/>
        <v>1000000</v>
      </c>
      <c r="J52" s="308">
        <f t="shared" ca="1" si="6"/>
        <v>0</v>
      </c>
      <c r="K52" s="309">
        <f t="shared" ca="1" si="7"/>
        <v>1000000</v>
      </c>
      <c r="L52" s="289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717">
        <v>17</v>
      </c>
      <c r="C53" s="718" t="s">
        <v>784</v>
      </c>
      <c r="D53" s="305" t="str">
        <f ca="1">IF(ISERROR(OFFSET('HARGA SATUAN'!$D$6,MATCH(RAB!C53,'HARGA SATUAN'!$C$7:$C$1495,0),0)),"",OFFSET('HARGA SATUAN'!$D$6,MATCH(RAB!C53,'HARGA SATUAN'!$C$7:$C$1495,0),0))</f>
        <v>JASA</v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52">
        <f>F34*1</f>
        <v>1</v>
      </c>
      <c r="G53" s="307">
        <f ca="1">IF(ISERROR(OFFSET('HARGA SATUAN'!$I$6,MATCH(RAB!C53,'HARGA SATUAN'!$C$7:$C$1495,0),0)),0,OFFSET('HARGA SATUAN'!$I$6,MATCH(RAB!C53,'HARGA SATUAN'!$C$7:$C$1495,0),0))</f>
        <v>2953300</v>
      </c>
      <c r="H53" s="308">
        <f t="shared" ca="1" si="4"/>
        <v>0</v>
      </c>
      <c r="I53" s="308">
        <f t="shared" ca="1" si="5"/>
        <v>0</v>
      </c>
      <c r="J53" s="308">
        <f t="shared" ca="1" si="6"/>
        <v>2953300</v>
      </c>
      <c r="K53" s="309">
        <f t="shared" ca="1" si="7"/>
        <v>2953300</v>
      </c>
      <c r="L53" s="289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17"/>
      <c r="C54" s="718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2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4"/>
        <v>0</v>
      </c>
      <c r="I54" s="308">
        <f t="shared" ca="1" si="5"/>
        <v>0</v>
      </c>
      <c r="J54" s="308">
        <f t="shared" ca="1" si="6"/>
        <v>0</v>
      </c>
      <c r="K54" s="309">
        <f t="shared" ca="1" si="7"/>
        <v>0</v>
      </c>
      <c r="L54" s="289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19" t="s">
        <v>1035</v>
      </c>
      <c r="C55" s="721" t="s">
        <v>1645</v>
      </c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>Unit</v>
      </c>
      <c r="F55" s="452">
        <v>2</v>
      </c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4"/>
        <v>0</v>
      </c>
      <c r="I55" s="308">
        <f t="shared" ca="1" si="5"/>
        <v>0</v>
      </c>
      <c r="J55" s="308">
        <f t="shared" ca="1" si="6"/>
        <v>0</v>
      </c>
      <c r="K55" s="309">
        <f t="shared" ca="1" si="7"/>
        <v>0</v>
      </c>
      <c r="L55" s="289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19">
        <v>1</v>
      </c>
      <c r="C56" s="722" t="s">
        <v>29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52">
        <f>F55*1</f>
        <v>2</v>
      </c>
      <c r="G56" s="307">
        <f ca="1">IF(ISERROR(OFFSET('HARGA SATUAN'!$I$6,MATCH(RAB!C56,'HARGA SATUAN'!$C$7:$C$1495,0),0)),0,OFFSET('HARGA SATUAN'!$I$6,MATCH(RAB!C56,'HARGA SATUAN'!$C$7:$C$1495,0),0))</f>
        <v>185200</v>
      </c>
      <c r="H56" s="308">
        <f t="shared" ca="1" si="4"/>
        <v>0</v>
      </c>
      <c r="I56" s="308">
        <f t="shared" ca="1" si="5"/>
        <v>370400</v>
      </c>
      <c r="J56" s="308">
        <f t="shared" ca="1" si="6"/>
        <v>0</v>
      </c>
      <c r="K56" s="309">
        <f t="shared" ca="1" si="7"/>
        <v>370400</v>
      </c>
      <c r="L56" s="289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717">
        <v>2</v>
      </c>
      <c r="C57" s="718" t="s">
        <v>30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52">
        <f>F55*1</f>
        <v>2</v>
      </c>
      <c r="G57" s="307">
        <f ca="1">IF(ISERROR(OFFSET('HARGA SATUAN'!$I$6,MATCH(RAB!C57,'HARGA SATUAN'!$C$7:$C$1495,0),0)),0,OFFSET('HARGA SATUAN'!$I$6,MATCH(RAB!C57,'HARGA SATUAN'!$C$7:$C$1495,0),0))</f>
        <v>47459</v>
      </c>
      <c r="H57" s="308">
        <f t="shared" ca="1" si="4"/>
        <v>0</v>
      </c>
      <c r="I57" s="308">
        <f t="shared" ca="1" si="5"/>
        <v>94918</v>
      </c>
      <c r="J57" s="308">
        <f t="shared" ca="1" si="6"/>
        <v>0</v>
      </c>
      <c r="K57" s="309">
        <f t="shared" ca="1" si="7"/>
        <v>94918</v>
      </c>
      <c r="L57" s="289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717">
        <v>3</v>
      </c>
      <c r="C58" s="718" t="s">
        <v>31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2">
        <f>F55*1</f>
        <v>2</v>
      </c>
      <c r="G58" s="307">
        <f ca="1">IF(ISERROR(OFFSET('HARGA SATUAN'!$I$6,MATCH(RAB!C58,'HARGA SATUAN'!$C$7:$C$1495,0),0)),0,OFFSET('HARGA SATUAN'!$I$6,MATCH(RAB!C58,'HARGA SATUAN'!$C$7:$C$1495,0),0))</f>
        <v>4880</v>
      </c>
      <c r="H58" s="308">
        <f t="shared" ca="1" si="4"/>
        <v>0</v>
      </c>
      <c r="I58" s="308">
        <f t="shared" ca="1" si="5"/>
        <v>9760</v>
      </c>
      <c r="J58" s="308">
        <f t="shared" ca="1" si="6"/>
        <v>0</v>
      </c>
      <c r="K58" s="309">
        <f t="shared" ca="1" si="7"/>
        <v>9760</v>
      </c>
      <c r="L58" s="289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717">
        <v>4</v>
      </c>
      <c r="C59" s="718" t="s">
        <v>32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Mtr</v>
      </c>
      <c r="F59" s="452">
        <f>F55*10</f>
        <v>20</v>
      </c>
      <c r="G59" s="307">
        <f ca="1">IF(ISERROR(OFFSET('HARGA SATUAN'!$I$6,MATCH(RAB!C59,'HARGA SATUAN'!$C$7:$C$1495,0),0)),0,OFFSET('HARGA SATUAN'!$I$6,MATCH(RAB!C59,'HARGA SATUAN'!$C$7:$C$1495,0),0))</f>
        <v>30000</v>
      </c>
      <c r="H59" s="308">
        <f t="shared" ca="1" si="4"/>
        <v>0</v>
      </c>
      <c r="I59" s="308">
        <f t="shared" ca="1" si="5"/>
        <v>600000</v>
      </c>
      <c r="J59" s="308">
        <f t="shared" ca="1" si="6"/>
        <v>0</v>
      </c>
      <c r="K59" s="309">
        <f t="shared" ca="1" si="7"/>
        <v>600000</v>
      </c>
      <c r="L59" s="289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717">
        <v>5</v>
      </c>
      <c r="C60" s="718" t="s">
        <v>33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52">
        <f>F55*2</f>
        <v>4</v>
      </c>
      <c r="G60" s="307">
        <f ca="1">IF(ISERROR(OFFSET('HARGA SATUAN'!$I$6,MATCH(RAB!C60,'HARGA SATUAN'!$C$7:$C$1495,0),0)),0,OFFSET('HARGA SATUAN'!$I$6,MATCH(RAB!C60,'HARGA SATUAN'!$C$7:$C$1495,0),0))</f>
        <v>9500</v>
      </c>
      <c r="H60" s="308">
        <f t="shared" ca="1" si="4"/>
        <v>0</v>
      </c>
      <c r="I60" s="308">
        <f t="shared" ca="1" si="5"/>
        <v>38000</v>
      </c>
      <c r="J60" s="308">
        <f t="shared" ca="1" si="6"/>
        <v>0</v>
      </c>
      <c r="K60" s="309">
        <f t="shared" ca="1" si="7"/>
        <v>38000</v>
      </c>
      <c r="L60" s="289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717">
        <v>6</v>
      </c>
      <c r="C61" s="718" t="s">
        <v>34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452">
        <f>F55*5.5</f>
        <v>11</v>
      </c>
      <c r="G61" s="307">
        <f ca="1">IF(ISERROR(OFFSET('HARGA SATUAN'!$I$6,MATCH(RAB!C61,'HARGA SATUAN'!$C$7:$C$1495,0),0)),0,OFFSET('HARGA SATUAN'!$I$6,MATCH(RAB!C61,'HARGA SATUAN'!$C$7:$C$1495,0),0))</f>
        <v>6100</v>
      </c>
      <c r="H61" s="308">
        <f t="shared" ca="1" si="4"/>
        <v>0</v>
      </c>
      <c r="I61" s="308">
        <f t="shared" ca="1" si="5"/>
        <v>67100</v>
      </c>
      <c r="J61" s="308">
        <f t="shared" ca="1" si="6"/>
        <v>0</v>
      </c>
      <c r="K61" s="309">
        <f t="shared" ca="1" si="7"/>
        <v>67100</v>
      </c>
      <c r="L61" s="289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717">
        <v>7</v>
      </c>
      <c r="C62" s="718" t="s">
        <v>35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452">
        <f>F55*6</f>
        <v>12</v>
      </c>
      <c r="G62" s="307">
        <f ca="1">IF(ISERROR(OFFSET('HARGA SATUAN'!$I$6,MATCH(RAB!C62,'HARGA SATUAN'!$C$7:$C$1495,0),0)),0,OFFSET('HARGA SATUAN'!$I$6,MATCH(RAB!C62,'HARGA SATUAN'!$C$7:$C$1495,0),0))</f>
        <v>2300</v>
      </c>
      <c r="H62" s="308">
        <f t="shared" ca="1" si="4"/>
        <v>0</v>
      </c>
      <c r="I62" s="308">
        <f t="shared" ca="1" si="5"/>
        <v>27600</v>
      </c>
      <c r="J62" s="308">
        <f t="shared" ca="1" si="6"/>
        <v>0</v>
      </c>
      <c r="K62" s="309">
        <f t="shared" ca="1" si="7"/>
        <v>27600</v>
      </c>
      <c r="L62" s="289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717">
        <v>8</v>
      </c>
      <c r="C63" s="718" t="s">
        <v>1658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Mtr</v>
      </c>
      <c r="F63" s="452">
        <f>F55*4.8</f>
        <v>9.6</v>
      </c>
      <c r="G63" s="307">
        <f ca="1">IF(ISERROR(OFFSET('HARGA SATUAN'!$I$6,MATCH(RAB!C63,'HARGA SATUAN'!$C$7:$C$1495,0),0)),0,OFFSET('HARGA SATUAN'!$I$6,MATCH(RAB!C63,'HARGA SATUAN'!$C$7:$C$1495,0),0))</f>
        <v>23310</v>
      </c>
      <c r="H63" s="308">
        <f t="shared" ca="1" si="4"/>
        <v>0</v>
      </c>
      <c r="I63" s="308">
        <f t="shared" ca="1" si="5"/>
        <v>223776</v>
      </c>
      <c r="J63" s="308">
        <f t="shared" ca="1" si="6"/>
        <v>0</v>
      </c>
      <c r="K63" s="309">
        <f t="shared" ca="1" si="7"/>
        <v>223776</v>
      </c>
      <c r="L63" s="289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717">
        <v>9</v>
      </c>
      <c r="C64" s="718" t="s">
        <v>736</v>
      </c>
      <c r="D64" s="305" t="str">
        <f ca="1">IF(ISERROR(OFFSET('HARGA SATUAN'!$D$6,MATCH(RAB!C64,'HARGA SATUAN'!$C$7:$C$1495,0),0)),"",OFFSET('HARGA SATUAN'!$D$6,MATCH(RAB!C64,'HARGA SATUAN'!$C$7:$C$1495,0),0))</f>
        <v>JASA</v>
      </c>
      <c r="E64" s="306" t="str">
        <f ca="1">IF(B64="+","Unit",IF(ISERROR(OFFSET('HARGA SATUAN'!$E$6,MATCH(RAB!C64,'HARGA SATUAN'!$C$7:$C$1495,0),0)),"",OFFSET('HARGA SATUAN'!$E$6,MATCH(RAB!C64,'HARGA SATUAN'!$C$7:$C$1495,0),0)))</f>
        <v>Unit</v>
      </c>
      <c r="F64" s="452">
        <f>F55*1</f>
        <v>2</v>
      </c>
      <c r="G64" s="307">
        <f ca="1">IF(ISERROR(OFFSET('HARGA SATUAN'!$I$6,MATCH(RAB!C64,'HARGA SATUAN'!$C$7:$C$1495,0),0)),0,OFFSET('HARGA SATUAN'!$I$6,MATCH(RAB!C64,'HARGA SATUAN'!$C$7:$C$1495,0),0))</f>
        <v>65400</v>
      </c>
      <c r="H64" s="308">
        <f t="shared" ca="1" si="4"/>
        <v>0</v>
      </c>
      <c r="I64" s="308">
        <f t="shared" ca="1" si="5"/>
        <v>0</v>
      </c>
      <c r="J64" s="308">
        <f t="shared" ca="1" si="6"/>
        <v>130800</v>
      </c>
      <c r="K64" s="309">
        <f t="shared" ca="1" si="7"/>
        <v>130800</v>
      </c>
      <c r="L64" s="289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717"/>
      <c r="C65" s="718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2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4"/>
        <v>0</v>
      </c>
      <c r="I65" s="308">
        <f t="shared" ca="1" si="5"/>
        <v>0</v>
      </c>
      <c r="J65" s="308">
        <f t="shared" ca="1" si="6"/>
        <v>0</v>
      </c>
      <c r="K65" s="309">
        <f t="shared" ca="1" si="7"/>
        <v>0</v>
      </c>
      <c r="L65" s="289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717" t="s">
        <v>1035</v>
      </c>
      <c r="C66" s="718" t="s">
        <v>1637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>Unit</v>
      </c>
      <c r="F66" s="723">
        <v>2</v>
      </c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4"/>
        <v>0</v>
      </c>
      <c r="I66" s="308">
        <f t="shared" ca="1" si="5"/>
        <v>0</v>
      </c>
      <c r="J66" s="308">
        <f t="shared" ca="1" si="6"/>
        <v>0</v>
      </c>
      <c r="K66" s="309">
        <f t="shared" ca="1" si="7"/>
        <v>0</v>
      </c>
      <c r="L66" s="289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t="30">
      <c r="A67" s="283"/>
      <c r="B67" s="717">
        <v>1</v>
      </c>
      <c r="C67" s="718" t="s">
        <v>1659</v>
      </c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723">
        <f>F66*3</f>
        <v>6</v>
      </c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4"/>
        <v>0</v>
      </c>
      <c r="I67" s="308">
        <f ca="1">IF(D67="HDW",G67*F67,0)</f>
        <v>0</v>
      </c>
      <c r="J67" s="308">
        <f t="shared" ca="1" si="6"/>
        <v>0</v>
      </c>
      <c r="K67" s="309">
        <f t="shared" ca="1" si="7"/>
        <v>0</v>
      </c>
      <c r="L67" s="289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717">
        <v>2</v>
      </c>
      <c r="C68" s="718" t="s">
        <v>152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Mtr</v>
      </c>
      <c r="F68" s="723">
        <f>F66*1</f>
        <v>2</v>
      </c>
      <c r="G68" s="307">
        <f ca="1">IF(ISERROR(OFFSET('HARGA SATUAN'!$I$6,MATCH(RAB!C68,'HARGA SATUAN'!$C$7:$C$1495,0),0)),0,OFFSET('HARGA SATUAN'!$I$6,MATCH(RAB!C68,'HARGA SATUAN'!$C$7:$C$1495,0),0))</f>
        <v>7789</v>
      </c>
      <c r="H68" s="308">
        <f t="shared" ca="1" si="4"/>
        <v>0</v>
      </c>
      <c r="I68" s="308">
        <f t="shared" ca="1" si="5"/>
        <v>15578</v>
      </c>
      <c r="J68" s="308">
        <f t="shared" ca="1" si="6"/>
        <v>0</v>
      </c>
      <c r="K68" s="309">
        <f t="shared" ca="1" si="7"/>
        <v>15578</v>
      </c>
      <c r="L68" s="289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717">
        <v>3</v>
      </c>
      <c r="C69" s="718" t="s">
        <v>157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723">
        <f>F66*2</f>
        <v>4</v>
      </c>
      <c r="G69" s="307">
        <f ca="1">IF(ISERROR(OFFSET('HARGA SATUAN'!$I$6,MATCH(RAB!C69,'HARGA SATUAN'!$C$7:$C$1495,0),0)),0,OFFSET('HARGA SATUAN'!$I$6,MATCH(RAB!C69,'HARGA SATUAN'!$C$7:$C$1495,0),0))</f>
        <v>40000</v>
      </c>
      <c r="H69" s="308">
        <f t="shared" ca="1" si="4"/>
        <v>0</v>
      </c>
      <c r="I69" s="308">
        <f t="shared" ca="1" si="5"/>
        <v>160000</v>
      </c>
      <c r="J69" s="308">
        <f t="shared" ca="1" si="6"/>
        <v>0</v>
      </c>
      <c r="K69" s="309">
        <f t="shared" ca="1" si="7"/>
        <v>160000</v>
      </c>
      <c r="L69" s="289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717">
        <v>4</v>
      </c>
      <c r="C70" s="718" t="s">
        <v>28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723">
        <f>F66*1</f>
        <v>2</v>
      </c>
      <c r="G70" s="307">
        <f ca="1">IF(ISERROR(OFFSET('HARGA SATUAN'!$I$6,MATCH(RAB!C70,'HARGA SATUAN'!$C$7:$C$1495,0),0)),0,OFFSET('HARGA SATUAN'!$I$6,MATCH(RAB!C70,'HARGA SATUAN'!$C$7:$C$1495,0),0))</f>
        <v>26500</v>
      </c>
      <c r="H70" s="308">
        <f t="shared" ca="1" si="4"/>
        <v>0</v>
      </c>
      <c r="I70" s="308">
        <f t="shared" ca="1" si="5"/>
        <v>53000</v>
      </c>
      <c r="J70" s="308">
        <f t="shared" ca="1" si="6"/>
        <v>0</v>
      </c>
      <c r="K70" s="309">
        <f t="shared" ca="1" si="7"/>
        <v>53000</v>
      </c>
      <c r="L70" s="289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717">
        <v>5</v>
      </c>
      <c r="C71" s="718" t="s">
        <v>163</v>
      </c>
      <c r="D71" s="305" t="str">
        <f ca="1">IF(ISERROR(OFFSET('HARGA SATUAN'!$D$6,MATCH(RAB!C71,'HARGA SATUAN'!$C$7:$C$1495,0),0)),"",OFFSET('HARGA SATUAN'!$D$6,MATCH(RAB!C71,'HARGA SATUAN'!$C$7:$C$1495,0),0))</f>
        <v>HDW</v>
      </c>
      <c r="E71" s="306" t="str">
        <f ca="1">IF(B71="+","Unit",IF(ISERROR(OFFSET('HARGA SATUAN'!$E$6,MATCH(RAB!C71,'HARGA SATUAN'!$C$7:$C$1495,0),0)),"",OFFSET('HARGA SATUAN'!$E$6,MATCH(RAB!C71,'HARGA SATUAN'!$C$7:$C$1495,0),0)))</f>
        <v>Bh</v>
      </c>
      <c r="F71" s="723">
        <f>F66*4</f>
        <v>8</v>
      </c>
      <c r="G71" s="307">
        <f ca="1">IF(ISERROR(OFFSET('HARGA SATUAN'!$I$6,MATCH(RAB!C71,'HARGA SATUAN'!$C$7:$C$1495,0),0)),0,OFFSET('HARGA SATUAN'!$I$6,MATCH(RAB!C71,'HARGA SATUAN'!$C$7:$C$1495,0),0))</f>
        <v>7938</v>
      </c>
      <c r="H71" s="308">
        <f t="shared" ca="1" si="4"/>
        <v>0</v>
      </c>
      <c r="I71" s="308">
        <f t="shared" ca="1" si="5"/>
        <v>63504</v>
      </c>
      <c r="J71" s="308">
        <f t="shared" ca="1" si="6"/>
        <v>0</v>
      </c>
      <c r="K71" s="309">
        <f t="shared" ca="1" si="7"/>
        <v>63504</v>
      </c>
      <c r="L71" s="289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717">
        <v>6</v>
      </c>
      <c r="C72" s="718" t="s">
        <v>173</v>
      </c>
      <c r="D72" s="305" t="str">
        <f ca="1">IF(ISERROR(OFFSET('HARGA SATUAN'!$D$6,MATCH(RAB!C72,'HARGA SATUAN'!$C$7:$C$1495,0),0)),"",OFFSET('HARGA SATUAN'!$D$6,MATCH(RAB!C72,'HARGA SATUAN'!$C$7:$C$1495,0),0))</f>
        <v>HDW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723">
        <f>F66*4</f>
        <v>8</v>
      </c>
      <c r="G72" s="307">
        <f ca="1">IF(ISERROR(OFFSET('HARGA SATUAN'!$I$6,MATCH(RAB!C72,'HARGA SATUAN'!$C$7:$C$1495,0),0)),0,OFFSET('HARGA SATUAN'!$I$6,MATCH(RAB!C72,'HARGA SATUAN'!$C$7:$C$1495,0),0))</f>
        <v>45000</v>
      </c>
      <c r="H72" s="308">
        <f t="shared" ca="1" si="4"/>
        <v>0</v>
      </c>
      <c r="I72" s="308">
        <f t="shared" ca="1" si="5"/>
        <v>360000</v>
      </c>
      <c r="J72" s="308">
        <f t="shared" ca="1" si="6"/>
        <v>0</v>
      </c>
      <c r="K72" s="309">
        <f t="shared" ca="1" si="7"/>
        <v>360000</v>
      </c>
      <c r="L72" s="289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717">
        <v>7</v>
      </c>
      <c r="C73" s="718" t="s">
        <v>179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723">
        <f>F66*1</f>
        <v>2</v>
      </c>
      <c r="G73" s="307">
        <f ca="1">IF(ISERROR(OFFSET('HARGA SATUAN'!$I$6,MATCH(RAB!C73,'HARGA SATUAN'!$C$7:$C$1495,0),0)),0,OFFSET('HARGA SATUAN'!$I$6,MATCH(RAB!C73,'HARGA SATUAN'!$C$7:$C$1495,0),0))</f>
        <v>15500</v>
      </c>
      <c r="H73" s="308">
        <f t="shared" ca="1" si="4"/>
        <v>0</v>
      </c>
      <c r="I73" s="308">
        <f t="shared" ca="1" si="5"/>
        <v>31000</v>
      </c>
      <c r="J73" s="308">
        <f t="shared" ca="1" si="6"/>
        <v>0</v>
      </c>
      <c r="K73" s="309">
        <f t="shared" ca="1" si="7"/>
        <v>31000</v>
      </c>
      <c r="L73" s="289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717">
        <v>8</v>
      </c>
      <c r="C74" s="718" t="s">
        <v>593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Bh</v>
      </c>
      <c r="F74" s="723">
        <f>F66*2</f>
        <v>4</v>
      </c>
      <c r="G74" s="307">
        <f ca="1">IF(ISERROR(OFFSET('HARGA SATUAN'!$I$6,MATCH(RAB!C74,'HARGA SATUAN'!$C$7:$C$1495,0),0)),0,OFFSET('HARGA SATUAN'!$I$6,MATCH(RAB!C74,'HARGA SATUAN'!$C$7:$C$1495,0),0))</f>
        <v>380500</v>
      </c>
      <c r="H74" s="308">
        <f t="shared" ca="1" si="4"/>
        <v>0</v>
      </c>
      <c r="I74" s="308">
        <f t="shared" ca="1" si="5"/>
        <v>1522000</v>
      </c>
      <c r="J74" s="308">
        <f t="shared" ca="1" si="6"/>
        <v>0</v>
      </c>
      <c r="K74" s="309">
        <f t="shared" ca="1" si="7"/>
        <v>1522000</v>
      </c>
      <c r="L74" s="289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17">
        <v>9</v>
      </c>
      <c r="C75" s="718" t="s">
        <v>217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723">
        <f>F66*4</f>
        <v>8</v>
      </c>
      <c r="G75" s="307">
        <f ca="1">IF(ISERROR(OFFSET('HARGA SATUAN'!$I$6,MATCH(RAB!C75,'HARGA SATUAN'!$C$7:$C$1495,0),0)),0,OFFSET('HARGA SATUAN'!$I$6,MATCH(RAB!C75,'HARGA SATUAN'!$C$7:$C$1495,0),0))</f>
        <v>11400</v>
      </c>
      <c r="H75" s="308">
        <f t="shared" ca="1" si="4"/>
        <v>0</v>
      </c>
      <c r="I75" s="308">
        <f t="shared" ca="1" si="5"/>
        <v>91200</v>
      </c>
      <c r="J75" s="308">
        <f t="shared" ca="1" si="6"/>
        <v>0</v>
      </c>
      <c r="K75" s="309">
        <f t="shared" ca="1" si="7"/>
        <v>91200</v>
      </c>
      <c r="L75" s="289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17">
        <v>10</v>
      </c>
      <c r="C76" s="718" t="s">
        <v>218</v>
      </c>
      <c r="D76" s="305" t="str">
        <f ca="1">IF(ISERROR(OFFSET('HARGA SATUAN'!$D$6,MATCH(RAB!C76,'HARGA SATUAN'!$C$7:$C$1495,0),0)),"",OFFSET('HARGA SATUAN'!$D$6,MATCH(RAB!C76,'HARGA SATUAN'!$C$7:$C$1495,0),0))</f>
        <v>HDW</v>
      </c>
      <c r="E76" s="306" t="str">
        <f ca="1">IF(B76="+","Unit",IF(ISERROR(OFFSET('HARGA SATUAN'!$E$6,MATCH(RAB!C76,'HARGA SATUAN'!$C$7:$C$1495,0),0)),"",OFFSET('HARGA SATUAN'!$E$6,MATCH(RAB!C76,'HARGA SATUAN'!$C$7:$C$1495,0),0)))</f>
        <v>Bh</v>
      </c>
      <c r="F76" s="723">
        <f>F66*2</f>
        <v>4</v>
      </c>
      <c r="G76" s="307">
        <f ca="1">IF(ISERROR(OFFSET('HARGA SATUAN'!$I$6,MATCH(RAB!C76,'HARGA SATUAN'!$C$7:$C$1495,0),0)),0,OFFSET('HARGA SATUAN'!$I$6,MATCH(RAB!C76,'HARGA SATUAN'!$C$7:$C$1495,0),0))</f>
        <v>29600</v>
      </c>
      <c r="H76" s="308">
        <f t="shared" ca="1" si="4"/>
        <v>0</v>
      </c>
      <c r="I76" s="308">
        <f t="shared" ca="1" si="5"/>
        <v>118400</v>
      </c>
      <c r="J76" s="308">
        <f t="shared" ca="1" si="6"/>
        <v>0</v>
      </c>
      <c r="K76" s="309">
        <f t="shared" ca="1" si="7"/>
        <v>118400</v>
      </c>
      <c r="L76" s="289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717">
        <v>11</v>
      </c>
      <c r="C77" s="718" t="s">
        <v>223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723">
        <f>F66*1</f>
        <v>2</v>
      </c>
      <c r="G77" s="307">
        <f ca="1">IF(ISERROR(OFFSET('HARGA SATUAN'!$I$6,MATCH(RAB!C77,'HARGA SATUAN'!$C$7:$C$1495,0),0)),0,OFFSET('HARGA SATUAN'!$I$6,MATCH(RAB!C77,'HARGA SATUAN'!$C$7:$C$1495,0),0))</f>
        <v>27815</v>
      </c>
      <c r="H77" s="308">
        <f t="shared" ca="1" si="4"/>
        <v>0</v>
      </c>
      <c r="I77" s="308">
        <f t="shared" ca="1" si="5"/>
        <v>55630</v>
      </c>
      <c r="J77" s="308">
        <f t="shared" ca="1" si="6"/>
        <v>0</v>
      </c>
      <c r="K77" s="309">
        <f t="shared" ca="1" si="7"/>
        <v>55630</v>
      </c>
      <c r="L77" s="289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717">
        <v>12</v>
      </c>
      <c r="C78" s="718" t="s">
        <v>25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Bh</v>
      </c>
      <c r="F78" s="723">
        <f>F66*3</f>
        <v>6</v>
      </c>
      <c r="G78" s="307">
        <f ca="1">IF(ISERROR(OFFSET('HARGA SATUAN'!$I$6,MATCH(RAB!C78,'HARGA SATUAN'!$C$7:$C$1495,0),0)),0,OFFSET('HARGA SATUAN'!$I$6,MATCH(RAB!C78,'HARGA SATUAN'!$C$7:$C$1495,0),0))</f>
        <v>23936</v>
      </c>
      <c r="H78" s="308">
        <f t="shared" ca="1" si="4"/>
        <v>0</v>
      </c>
      <c r="I78" s="308">
        <f t="shared" ca="1" si="5"/>
        <v>143616</v>
      </c>
      <c r="J78" s="308">
        <f t="shared" ca="1" si="6"/>
        <v>0</v>
      </c>
      <c r="K78" s="309">
        <f t="shared" ca="1" si="7"/>
        <v>143616</v>
      </c>
      <c r="L78" s="289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717">
        <v>13</v>
      </c>
      <c r="C79" s="718" t="s">
        <v>37</v>
      </c>
      <c r="D79" s="305" t="str">
        <f ca="1">IF(ISERROR(OFFSET('HARGA SATUAN'!$D$6,MATCH(RAB!C79,'HARGA SATUAN'!$C$7:$C$1495,0),0)),"",OFFSET('HARGA SATUAN'!$D$6,MATCH(RAB!C79,'HARGA SATUAN'!$C$7:$C$1495,0),0))</f>
        <v>HDW</v>
      </c>
      <c r="E79" s="306" t="str">
        <f ca="1">IF(B79="+","Unit",IF(ISERROR(OFFSET('HARGA SATUAN'!$E$6,MATCH(RAB!C79,'HARGA SATUAN'!$C$7:$C$1495,0),0)),"",OFFSET('HARGA SATUAN'!$E$6,MATCH(RAB!C79,'HARGA SATUAN'!$C$7:$C$1495,0),0)))</f>
        <v>Bh</v>
      </c>
      <c r="F79" s="723">
        <f>F66*1</f>
        <v>2</v>
      </c>
      <c r="G79" s="307">
        <f ca="1">IF(ISERROR(OFFSET('HARGA SATUAN'!$I$6,MATCH(RAB!C79,'HARGA SATUAN'!$C$7:$C$1495,0),0)),0,OFFSET('HARGA SATUAN'!$I$6,MATCH(RAB!C79,'HARGA SATUAN'!$C$7:$C$1495,0),0))</f>
        <v>63500</v>
      </c>
      <c r="H79" s="308">
        <f t="shared" ca="1" si="4"/>
        <v>0</v>
      </c>
      <c r="I79" s="308">
        <f t="shared" ca="1" si="5"/>
        <v>127000</v>
      </c>
      <c r="J79" s="308">
        <f t="shared" ca="1" si="6"/>
        <v>0</v>
      </c>
      <c r="K79" s="309">
        <f t="shared" ca="1" si="7"/>
        <v>127000</v>
      </c>
      <c r="L79" s="289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717">
        <v>14</v>
      </c>
      <c r="C80" s="718" t="s">
        <v>247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Bh</v>
      </c>
      <c r="F80" s="723">
        <f>F66*1</f>
        <v>2</v>
      </c>
      <c r="G80" s="307">
        <f ca="1">IF(ISERROR(OFFSET('HARGA SATUAN'!$I$6,MATCH(RAB!C80,'HARGA SATUAN'!$C$7:$C$1495,0),0)),0,OFFSET('HARGA SATUAN'!$I$6,MATCH(RAB!C80,'HARGA SATUAN'!$C$7:$C$1495,0),0))</f>
        <v>57690</v>
      </c>
      <c r="H80" s="308">
        <f t="shared" ca="1" si="4"/>
        <v>0</v>
      </c>
      <c r="I80" s="308">
        <f t="shared" ca="1" si="5"/>
        <v>115380</v>
      </c>
      <c r="J80" s="308">
        <f t="shared" ca="1" si="6"/>
        <v>0</v>
      </c>
      <c r="K80" s="309">
        <f t="shared" ca="1" si="7"/>
        <v>115380</v>
      </c>
      <c r="L80" s="289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717">
        <v>15</v>
      </c>
      <c r="C81" s="718" t="s">
        <v>27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723">
        <f>F66*3</f>
        <v>6</v>
      </c>
      <c r="G81" s="307">
        <f ca="1">IF(ISERROR(OFFSET('HARGA SATUAN'!$I$6,MATCH(RAB!C81,'HARGA SATUAN'!$C$7:$C$1495,0),0)),0,OFFSET('HARGA SATUAN'!$I$6,MATCH(RAB!C81,'HARGA SATUAN'!$C$7:$C$1495,0),0))</f>
        <v>16000</v>
      </c>
      <c r="H81" s="308">
        <f t="shared" ca="1" si="4"/>
        <v>0</v>
      </c>
      <c r="I81" s="308">
        <f t="shared" ca="1" si="5"/>
        <v>96000</v>
      </c>
      <c r="J81" s="308">
        <f t="shared" ca="1" si="6"/>
        <v>0</v>
      </c>
      <c r="K81" s="309">
        <f t="shared" ca="1" si="7"/>
        <v>96000</v>
      </c>
      <c r="L81" s="289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717">
        <v>16</v>
      </c>
      <c r="C82" s="718" t="s">
        <v>265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723">
        <f>F66*1</f>
        <v>2</v>
      </c>
      <c r="G82" s="307">
        <f ca="1">IF(ISERROR(OFFSET('HARGA SATUAN'!$I$6,MATCH(RAB!C82,'HARGA SATUAN'!$C$7:$C$1495,0),0)),0,OFFSET('HARGA SATUAN'!$I$6,MATCH(RAB!C82,'HARGA SATUAN'!$C$7:$C$1495,0),0))</f>
        <v>33501.866666666669</v>
      </c>
      <c r="H82" s="308">
        <f t="shared" ca="1" si="4"/>
        <v>0</v>
      </c>
      <c r="I82" s="308">
        <f t="shared" ca="1" si="5"/>
        <v>67003.733333333337</v>
      </c>
      <c r="J82" s="308">
        <f t="shared" ca="1" si="6"/>
        <v>0</v>
      </c>
      <c r="K82" s="309">
        <f t="shared" ca="1" si="7"/>
        <v>67003.733333333337</v>
      </c>
      <c r="L82" s="289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717">
        <v>17</v>
      </c>
      <c r="C83" s="718" t="s">
        <v>26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723">
        <f>F66*11</f>
        <v>22</v>
      </c>
      <c r="G83" s="307">
        <f ca="1">IF(ISERROR(OFFSET('HARGA SATUAN'!$I$6,MATCH(RAB!C83,'HARGA SATUAN'!$C$7:$C$1495,0),0)),0,OFFSET('HARGA SATUAN'!$I$6,MATCH(RAB!C83,'HARGA SATUAN'!$C$7:$C$1495,0),0))</f>
        <v>2500</v>
      </c>
      <c r="H83" s="308">
        <f t="shared" ca="1" si="4"/>
        <v>0</v>
      </c>
      <c r="I83" s="308">
        <f t="shared" ca="1" si="5"/>
        <v>55000</v>
      </c>
      <c r="J83" s="308">
        <f t="shared" ca="1" si="6"/>
        <v>0</v>
      </c>
      <c r="K83" s="309">
        <f t="shared" ca="1" si="7"/>
        <v>55000</v>
      </c>
      <c r="L83" s="289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717">
        <v>18</v>
      </c>
      <c r="C84" s="718" t="s">
        <v>703</v>
      </c>
      <c r="D84" s="305" t="str">
        <f ca="1">IF(ISERROR(OFFSET('HARGA SATUAN'!$D$6,MATCH(RAB!C84,'HARGA SATUAN'!$C$7:$C$1495,0),0)),"",OFFSET('HARGA SATUAN'!$D$6,MATCH(RAB!C84,'HARGA SATUAN'!$C$7:$C$1495,0),0))</f>
        <v>JASA</v>
      </c>
      <c r="E84" s="306" t="str">
        <f ca="1">IF(B84="+","Unit",IF(ISERROR(OFFSET('HARGA SATUAN'!$E$6,MATCH(RAB!C84,'HARGA SATUAN'!$C$7:$C$1495,0),0)),"",OFFSET('HARGA SATUAN'!$E$6,MATCH(RAB!C84,'HARGA SATUAN'!$C$7:$C$1495,0),0)))</f>
        <v>Unit</v>
      </c>
      <c r="F84" s="723">
        <f>F66*1</f>
        <v>2</v>
      </c>
      <c r="G84" s="307">
        <f ca="1">IF(ISERROR(OFFSET('HARGA SATUAN'!$I$6,MATCH(RAB!C84,'HARGA SATUAN'!$C$7:$C$1495,0),0)),0,OFFSET('HARGA SATUAN'!$I$6,MATCH(RAB!C84,'HARGA SATUAN'!$C$7:$C$1495,0),0))</f>
        <v>134700</v>
      </c>
      <c r="H84" s="308">
        <f t="shared" ca="1" si="4"/>
        <v>0</v>
      </c>
      <c r="I84" s="308">
        <f t="shared" ca="1" si="5"/>
        <v>0</v>
      </c>
      <c r="J84" s="308">
        <f t="shared" ca="1" si="6"/>
        <v>269400</v>
      </c>
      <c r="K84" s="309">
        <f t="shared" ca="1" si="7"/>
        <v>269400</v>
      </c>
      <c r="L84" s="289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717"/>
      <c r="C85" s="718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452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4"/>
        <v>0</v>
      </c>
      <c r="I85" s="308">
        <f t="shared" ca="1" si="5"/>
        <v>0</v>
      </c>
      <c r="J85" s="308">
        <f t="shared" ca="1" si="6"/>
        <v>0</v>
      </c>
      <c r="K85" s="309">
        <f t="shared" ca="1" si="7"/>
        <v>0</v>
      </c>
      <c r="L85" s="289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717" t="s">
        <v>1035</v>
      </c>
      <c r="C86" s="718" t="s">
        <v>1638</v>
      </c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>Unit</v>
      </c>
      <c r="F86" s="452">
        <v>1</v>
      </c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4"/>
        <v>0</v>
      </c>
      <c r="I86" s="308">
        <f t="shared" ca="1" si="5"/>
        <v>0</v>
      </c>
      <c r="J86" s="308">
        <f t="shared" ca="1" si="6"/>
        <v>0</v>
      </c>
      <c r="K86" s="309">
        <f t="shared" ca="1" si="7"/>
        <v>0</v>
      </c>
      <c r="L86" s="289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717">
        <v>1</v>
      </c>
      <c r="C87" s="718" t="s">
        <v>1608</v>
      </c>
      <c r="D87" s="305" t="str">
        <f ca="1">IF(ISERROR(OFFSET('HARGA SATUAN'!$D$6,MATCH(RAB!C87,'HARGA SATUAN'!$C$7:$C$1495,0),0)),"",OFFSET('HARGA SATUAN'!$D$6,MATCH(RAB!C87,'HARGA SATUAN'!$C$7:$C$1495,0),0))</f>
        <v>MDU-KD</v>
      </c>
      <c r="E87" s="306" t="str">
        <f ca="1">IF(B87="+","Unit",IF(ISERROR(OFFSET('HARGA SATUAN'!$E$6,MATCH(RAB!C87,'HARGA SATUAN'!$C$7:$C$1495,0),0)),"",OFFSET('HARGA SATUAN'!$E$6,MATCH(RAB!C87,'HARGA SATUAN'!$C$7:$C$1495,0),0)))</f>
        <v>Bh</v>
      </c>
      <c r="F87" s="452">
        <f>F86*1</f>
        <v>1</v>
      </c>
      <c r="G87" s="307">
        <f ca="1">IF(ISERROR(OFFSET('HARGA SATUAN'!$I$6,MATCH(RAB!C87,'HARGA SATUAN'!$C$7:$C$1495,0),0)),0,OFFSET('HARGA SATUAN'!$I$6,MATCH(RAB!C87,'HARGA SATUAN'!$C$7:$C$1495,0),0))</f>
        <v>176900</v>
      </c>
      <c r="H87" s="308">
        <f t="shared" ca="1" si="4"/>
        <v>176900</v>
      </c>
      <c r="I87" s="308">
        <f t="shared" ca="1" si="5"/>
        <v>0</v>
      </c>
      <c r="J87" s="308">
        <f t="shared" ca="1" si="6"/>
        <v>0</v>
      </c>
      <c r="K87" s="309">
        <f t="shared" ca="1" si="7"/>
        <v>176900</v>
      </c>
      <c r="L87" s="289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717">
        <v>2</v>
      </c>
      <c r="C88" s="718" t="s">
        <v>1609</v>
      </c>
      <c r="D88" s="305" t="str">
        <f ca="1">IF(ISERROR(OFFSET('HARGA SATUAN'!$D$6,MATCH(RAB!C88,'HARGA SATUAN'!$C$7:$C$1495,0),0)),"",OFFSET('HARGA SATUAN'!$D$6,MATCH(RAB!C88,'HARGA SATUAN'!$C$7:$C$1495,0),0))</f>
        <v>MDU-KD</v>
      </c>
      <c r="E88" s="306" t="str">
        <f ca="1">IF(B88="+","Unit",IF(ISERROR(OFFSET('HARGA SATUAN'!$E$6,MATCH(RAB!C88,'HARGA SATUAN'!$C$7:$C$1495,0),0)),"",OFFSET('HARGA SATUAN'!$E$6,MATCH(RAB!C88,'HARGA SATUAN'!$C$7:$C$1495,0),0)))</f>
        <v>Bh</v>
      </c>
      <c r="F88" s="452">
        <f>F86*2</f>
        <v>2</v>
      </c>
      <c r="G88" s="307">
        <f ca="1">IF(ISERROR(OFFSET('HARGA SATUAN'!$I$6,MATCH(RAB!C88,'HARGA SATUAN'!$C$7:$C$1495,0),0)),0,OFFSET('HARGA SATUAN'!$I$6,MATCH(RAB!C88,'HARGA SATUAN'!$C$7:$C$1495,0),0))</f>
        <v>235900</v>
      </c>
      <c r="H88" s="308">
        <f t="shared" ca="1" si="4"/>
        <v>471800</v>
      </c>
      <c r="I88" s="308">
        <f t="shared" ca="1" si="5"/>
        <v>0</v>
      </c>
      <c r="J88" s="308">
        <f t="shared" ca="1" si="6"/>
        <v>0</v>
      </c>
      <c r="K88" s="309">
        <f t="shared" ca="1" si="7"/>
        <v>471800</v>
      </c>
      <c r="L88" s="289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 ht="30">
      <c r="A89" s="283"/>
      <c r="B89" s="717">
        <v>3</v>
      </c>
      <c r="C89" s="718" t="s">
        <v>1659</v>
      </c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/>
      </c>
      <c r="F89" s="723">
        <f>F86*6</f>
        <v>6</v>
      </c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4"/>
        <v>0</v>
      </c>
      <c r="I89" s="308">
        <f t="shared" ca="1" si="5"/>
        <v>0</v>
      </c>
      <c r="J89" s="308">
        <f t="shared" ca="1" si="6"/>
        <v>0</v>
      </c>
      <c r="K89" s="309">
        <f t="shared" ca="1" si="7"/>
        <v>0</v>
      </c>
      <c r="L89" s="289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717">
        <v>4</v>
      </c>
      <c r="C90" s="718" t="s">
        <v>152</v>
      </c>
      <c r="D90" s="305" t="str">
        <f ca="1">IF(ISERROR(OFFSET('HARGA SATUAN'!$D$6,MATCH(RAB!C90,'HARGA SATUAN'!$C$7:$C$1495,0),0)),"",OFFSET('HARGA SATUAN'!$D$6,MATCH(RAB!C90,'HARGA SATUAN'!$C$7:$C$1495,0),0))</f>
        <v>HDW</v>
      </c>
      <c r="E90" s="306" t="str">
        <f ca="1">IF(B90="+","Unit",IF(ISERROR(OFFSET('HARGA SATUAN'!$E$6,MATCH(RAB!C90,'HARGA SATUAN'!$C$7:$C$1495,0),0)),"",OFFSET('HARGA SATUAN'!$E$6,MATCH(RAB!C90,'HARGA SATUAN'!$C$7:$C$1495,0),0)))</f>
        <v>Mtr</v>
      </c>
      <c r="F90" s="452">
        <f>F86*2</f>
        <v>2</v>
      </c>
      <c r="G90" s="307">
        <f ca="1">IF(ISERROR(OFFSET('HARGA SATUAN'!$I$6,MATCH(RAB!C90,'HARGA SATUAN'!$C$7:$C$1495,0),0)),0,OFFSET('HARGA SATUAN'!$I$6,MATCH(RAB!C90,'HARGA SATUAN'!$C$7:$C$1495,0),0))</f>
        <v>7789</v>
      </c>
      <c r="H90" s="308">
        <f t="shared" ca="1" si="4"/>
        <v>0</v>
      </c>
      <c r="I90" s="308">
        <f t="shared" ca="1" si="5"/>
        <v>15578</v>
      </c>
      <c r="J90" s="308">
        <f t="shared" ca="1" si="6"/>
        <v>0</v>
      </c>
      <c r="K90" s="309">
        <f t="shared" ca="1" si="7"/>
        <v>15578</v>
      </c>
      <c r="L90" s="289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724">
        <v>5</v>
      </c>
      <c r="C91" s="725" t="s">
        <v>157</v>
      </c>
      <c r="D91" s="305" t="str">
        <f ca="1">IF(ISERROR(OFFSET('HARGA SATUAN'!$D$6,MATCH(RAB!C91,'HARGA SATUAN'!$C$7:$C$1495,0),0)),"",OFFSET('HARGA SATUAN'!$D$6,MATCH(RAB!C91,'HARGA SATUAN'!$C$7:$C$1495,0),0))</f>
        <v>HDW</v>
      </c>
      <c r="E91" s="306" t="str">
        <f ca="1">IF(B91="+","Unit",IF(ISERROR(OFFSET('HARGA SATUAN'!$E$6,MATCH(RAB!C91,'HARGA SATUAN'!$C$7:$C$1495,0),0)),"",OFFSET('HARGA SATUAN'!$E$6,MATCH(RAB!C91,'HARGA SATUAN'!$C$7:$C$1495,0),0)))</f>
        <v>Bh</v>
      </c>
      <c r="F91" s="726">
        <f>F86*2</f>
        <v>2</v>
      </c>
      <c r="G91" s="307">
        <f ca="1">IF(ISERROR(OFFSET('HARGA SATUAN'!$I$6,MATCH(RAB!C91,'HARGA SATUAN'!$C$7:$C$1495,0),0)),0,OFFSET('HARGA SATUAN'!$I$6,MATCH(RAB!C91,'HARGA SATUAN'!$C$7:$C$1495,0),0))</f>
        <v>40000</v>
      </c>
      <c r="H91" s="308">
        <f t="shared" ca="1" si="4"/>
        <v>0</v>
      </c>
      <c r="I91" s="308">
        <f t="shared" ca="1" si="5"/>
        <v>80000</v>
      </c>
      <c r="J91" s="308">
        <f t="shared" ca="1" si="6"/>
        <v>0</v>
      </c>
      <c r="K91" s="309">
        <f t="shared" ca="1" si="7"/>
        <v>80000</v>
      </c>
      <c r="L91" s="289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724">
        <v>6</v>
      </c>
      <c r="C92" s="725" t="s">
        <v>28</v>
      </c>
      <c r="D92" s="305" t="str">
        <f ca="1">IF(ISERROR(OFFSET('HARGA SATUAN'!$D$6,MATCH(RAB!C92,'HARGA SATUAN'!$C$7:$C$1495,0),0)),"",OFFSET('HARGA SATUAN'!$D$6,MATCH(RAB!C92,'HARGA SATUAN'!$C$7:$C$1495,0),0))</f>
        <v>HDW</v>
      </c>
      <c r="E92" s="306" t="str">
        <f ca="1">IF(B92="+","Unit",IF(ISERROR(OFFSET('HARGA SATUAN'!$E$6,MATCH(RAB!C92,'HARGA SATUAN'!$C$7:$C$1495,0),0)),"",OFFSET('HARGA SATUAN'!$E$6,MATCH(RAB!C92,'HARGA SATUAN'!$C$7:$C$1495,0),0)))</f>
        <v>Bh</v>
      </c>
      <c r="F92" s="726">
        <f>F86*3</f>
        <v>3</v>
      </c>
      <c r="G92" s="307">
        <f ca="1">IF(ISERROR(OFFSET('HARGA SATUAN'!$I$6,MATCH(RAB!C92,'HARGA SATUAN'!$C$7:$C$1495,0),0)),0,OFFSET('HARGA SATUAN'!$I$6,MATCH(RAB!C92,'HARGA SATUAN'!$C$7:$C$1495,0),0))</f>
        <v>26500</v>
      </c>
      <c r="H92" s="308">
        <f t="shared" ca="1" si="4"/>
        <v>0</v>
      </c>
      <c r="I92" s="308">
        <f t="shared" ca="1" si="5"/>
        <v>79500</v>
      </c>
      <c r="J92" s="308">
        <f t="shared" ca="1" si="6"/>
        <v>0</v>
      </c>
      <c r="K92" s="309">
        <f t="shared" ca="1" si="7"/>
        <v>79500</v>
      </c>
      <c r="L92" s="289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724">
        <v>7</v>
      </c>
      <c r="C93" s="725" t="s">
        <v>163</v>
      </c>
      <c r="D93" s="305" t="str">
        <f ca="1">IF(ISERROR(OFFSET('HARGA SATUAN'!$D$6,MATCH(RAB!C93,'HARGA SATUAN'!$C$7:$C$1495,0),0)),"",OFFSET('HARGA SATUAN'!$D$6,MATCH(RAB!C93,'HARGA SATUAN'!$C$7:$C$1495,0),0))</f>
        <v>HDW</v>
      </c>
      <c r="E93" s="306" t="str">
        <f ca="1">IF(B93="+","Unit",IF(ISERROR(OFFSET('HARGA SATUAN'!$E$6,MATCH(RAB!C93,'HARGA SATUAN'!$C$7:$C$1495,0),0)),"",OFFSET('HARGA SATUAN'!$E$6,MATCH(RAB!C93,'HARGA SATUAN'!$C$7:$C$1495,0),0)))</f>
        <v>Bh</v>
      </c>
      <c r="F93" s="726">
        <f>F86*4</f>
        <v>4</v>
      </c>
      <c r="G93" s="307">
        <f ca="1">IF(ISERROR(OFFSET('HARGA SATUAN'!$I$6,MATCH(RAB!C93,'HARGA SATUAN'!$C$7:$C$1495,0),0)),0,OFFSET('HARGA SATUAN'!$I$6,MATCH(RAB!C93,'HARGA SATUAN'!$C$7:$C$1495,0),0))</f>
        <v>7938</v>
      </c>
      <c r="H93" s="308">
        <f t="shared" ca="1" si="4"/>
        <v>0</v>
      </c>
      <c r="I93" s="308">
        <f t="shared" ca="1" si="5"/>
        <v>31752</v>
      </c>
      <c r="J93" s="308">
        <f t="shared" ca="1" si="6"/>
        <v>0</v>
      </c>
      <c r="K93" s="309">
        <f t="shared" ca="1" si="7"/>
        <v>31752</v>
      </c>
      <c r="L93" s="289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724">
        <v>8</v>
      </c>
      <c r="C94" s="725" t="s">
        <v>173</v>
      </c>
      <c r="D94" s="305" t="str">
        <f ca="1">IF(ISERROR(OFFSET('HARGA SATUAN'!$D$6,MATCH(RAB!C94,'HARGA SATUAN'!$C$7:$C$1495,0),0)),"",OFFSET('HARGA SATUAN'!$D$6,MATCH(RAB!C94,'HARGA SATUAN'!$C$7:$C$1495,0),0))</f>
        <v>HDW</v>
      </c>
      <c r="E94" s="306" t="str">
        <f ca="1">IF(B94="+","Unit",IF(ISERROR(OFFSET('HARGA SATUAN'!$E$6,MATCH(RAB!C94,'HARGA SATUAN'!$C$7:$C$1495,0),0)),"",OFFSET('HARGA SATUAN'!$E$6,MATCH(RAB!C94,'HARGA SATUAN'!$C$7:$C$1495,0),0)))</f>
        <v>Bh</v>
      </c>
      <c r="F94" s="726">
        <f>F86*4</f>
        <v>4</v>
      </c>
      <c r="G94" s="307">
        <f ca="1">IF(ISERROR(OFFSET('HARGA SATUAN'!$I$6,MATCH(RAB!C94,'HARGA SATUAN'!$C$7:$C$1495,0),0)),0,OFFSET('HARGA SATUAN'!$I$6,MATCH(RAB!C94,'HARGA SATUAN'!$C$7:$C$1495,0),0))</f>
        <v>45000</v>
      </c>
      <c r="H94" s="308">
        <f t="shared" ca="1" si="4"/>
        <v>0</v>
      </c>
      <c r="I94" s="308">
        <f t="shared" ca="1" si="5"/>
        <v>180000</v>
      </c>
      <c r="J94" s="308">
        <f t="shared" ca="1" si="6"/>
        <v>0</v>
      </c>
      <c r="K94" s="309">
        <f t="shared" ca="1" si="7"/>
        <v>180000</v>
      </c>
      <c r="L94" s="289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724">
        <v>9</v>
      </c>
      <c r="C95" s="725" t="s">
        <v>178</v>
      </c>
      <c r="D95" s="305" t="str">
        <f ca="1">IF(ISERROR(OFFSET('HARGA SATUAN'!$D$6,MATCH(RAB!C95,'HARGA SATUAN'!$C$7:$C$1495,0),0)),"",OFFSET('HARGA SATUAN'!$D$6,MATCH(RAB!C95,'HARGA SATUAN'!$C$7:$C$1495,0),0))</f>
        <v>HDW</v>
      </c>
      <c r="E95" s="306" t="str">
        <f ca="1">IF(B95="+","Unit",IF(ISERROR(OFFSET('HARGA SATUAN'!$E$6,MATCH(RAB!C95,'HARGA SATUAN'!$C$7:$C$1495,0),0)),"",OFFSET('HARGA SATUAN'!$E$6,MATCH(RAB!C95,'HARGA SATUAN'!$C$7:$C$1495,0),0)))</f>
        <v>Bh</v>
      </c>
      <c r="F95" s="726">
        <f>F86*1</f>
        <v>1</v>
      </c>
      <c r="G95" s="307">
        <f ca="1">IF(ISERROR(OFFSET('HARGA SATUAN'!$I$6,MATCH(RAB!C95,'HARGA SATUAN'!$C$7:$C$1495,0),0)),0,OFFSET('HARGA SATUAN'!$I$6,MATCH(RAB!C95,'HARGA SATUAN'!$C$7:$C$1495,0),0))</f>
        <v>95000</v>
      </c>
      <c r="H95" s="308">
        <f t="shared" ca="1" si="4"/>
        <v>0</v>
      </c>
      <c r="I95" s="308">
        <f t="shared" ca="1" si="5"/>
        <v>95000</v>
      </c>
      <c r="J95" s="308">
        <f t="shared" ca="1" si="6"/>
        <v>0</v>
      </c>
      <c r="K95" s="309">
        <f t="shared" ca="1" si="7"/>
        <v>95000</v>
      </c>
      <c r="L95" s="289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724">
        <v>10</v>
      </c>
      <c r="C96" s="725" t="s">
        <v>179</v>
      </c>
      <c r="D96" s="305" t="str">
        <f ca="1">IF(ISERROR(OFFSET('HARGA SATUAN'!$D$6,MATCH(RAB!C96,'HARGA SATUAN'!$C$7:$C$1495,0),0)),"",OFFSET('HARGA SATUAN'!$D$6,MATCH(RAB!C96,'HARGA SATUAN'!$C$7:$C$1495,0),0))</f>
        <v>HDW</v>
      </c>
      <c r="E96" s="306" t="str">
        <f ca="1">IF(B96="+","Unit",IF(ISERROR(OFFSET('HARGA SATUAN'!$E$6,MATCH(RAB!C96,'HARGA SATUAN'!$C$7:$C$1495,0),0)),"",OFFSET('HARGA SATUAN'!$E$6,MATCH(RAB!C96,'HARGA SATUAN'!$C$7:$C$1495,0),0)))</f>
        <v>Bh</v>
      </c>
      <c r="F96" s="726">
        <f>F86*2</f>
        <v>2</v>
      </c>
      <c r="G96" s="307">
        <f ca="1">IF(ISERROR(OFFSET('HARGA SATUAN'!$I$6,MATCH(RAB!C96,'HARGA SATUAN'!$C$7:$C$1495,0),0)),0,OFFSET('HARGA SATUAN'!$I$6,MATCH(RAB!C96,'HARGA SATUAN'!$C$7:$C$1495,0),0))</f>
        <v>15500</v>
      </c>
      <c r="H96" s="308">
        <f t="shared" ca="1" si="4"/>
        <v>0</v>
      </c>
      <c r="I96" s="308">
        <f t="shared" ca="1" si="5"/>
        <v>31000</v>
      </c>
      <c r="J96" s="308">
        <f t="shared" ca="1" si="6"/>
        <v>0</v>
      </c>
      <c r="K96" s="309">
        <f t="shared" ca="1" si="7"/>
        <v>31000</v>
      </c>
      <c r="L96" s="289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724">
        <v>11</v>
      </c>
      <c r="C97" s="725" t="s">
        <v>181</v>
      </c>
      <c r="D97" s="305" t="str">
        <f ca="1">IF(ISERROR(OFFSET('HARGA SATUAN'!$D$6,MATCH(RAB!C97,'HARGA SATUAN'!$C$7:$C$1495,0),0)),"",OFFSET('HARGA SATUAN'!$D$6,MATCH(RAB!C97,'HARGA SATUAN'!$C$7:$C$1495,0),0))</f>
        <v>HDW</v>
      </c>
      <c r="E97" s="306" t="str">
        <f ca="1">IF(B97="+","Unit",IF(ISERROR(OFFSET('HARGA SATUAN'!$E$6,MATCH(RAB!C97,'HARGA SATUAN'!$C$7:$C$1495,0),0)),"",OFFSET('HARGA SATUAN'!$E$6,MATCH(RAB!C97,'HARGA SATUAN'!$C$7:$C$1495,0),0)))</f>
        <v>Bh</v>
      </c>
      <c r="F97" s="726">
        <f>F86*4</f>
        <v>4</v>
      </c>
      <c r="G97" s="307">
        <f ca="1">IF(ISERROR(OFFSET('HARGA SATUAN'!$I$6,MATCH(RAB!C97,'HARGA SATUAN'!$C$7:$C$1495,0),0)),0,OFFSET('HARGA SATUAN'!$I$6,MATCH(RAB!C97,'HARGA SATUAN'!$C$7:$C$1495,0),0))</f>
        <v>28100</v>
      </c>
      <c r="H97" s="308">
        <f t="shared" ca="1" si="4"/>
        <v>0</v>
      </c>
      <c r="I97" s="308">
        <f t="shared" ca="1" si="5"/>
        <v>112400</v>
      </c>
      <c r="J97" s="308">
        <f t="shared" ca="1" si="6"/>
        <v>0</v>
      </c>
      <c r="K97" s="309">
        <f t="shared" ca="1" si="7"/>
        <v>112400</v>
      </c>
      <c r="L97" s="289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724">
        <v>12</v>
      </c>
      <c r="C98" s="725" t="s">
        <v>593</v>
      </c>
      <c r="D98" s="305" t="str">
        <f ca="1">IF(ISERROR(OFFSET('HARGA SATUAN'!$D$6,MATCH(RAB!C98,'HARGA SATUAN'!$C$7:$C$1495,0),0)),"",OFFSET('HARGA SATUAN'!$D$6,MATCH(RAB!C98,'HARGA SATUAN'!$C$7:$C$1495,0),0))</f>
        <v>HDW</v>
      </c>
      <c r="E98" s="306" t="str">
        <f ca="1">IF(B98="+","Unit",IF(ISERROR(OFFSET('HARGA SATUAN'!$E$6,MATCH(RAB!C98,'HARGA SATUAN'!$C$7:$C$1495,0),0)),"",OFFSET('HARGA SATUAN'!$E$6,MATCH(RAB!C98,'HARGA SATUAN'!$C$7:$C$1495,0),0)))</f>
        <v>Bh</v>
      </c>
      <c r="F98" s="726">
        <f>F86*2</f>
        <v>2</v>
      </c>
      <c r="G98" s="307">
        <f ca="1">IF(ISERROR(OFFSET('HARGA SATUAN'!$I$6,MATCH(RAB!C98,'HARGA SATUAN'!$C$7:$C$1495,0),0)),0,OFFSET('HARGA SATUAN'!$I$6,MATCH(RAB!C98,'HARGA SATUAN'!$C$7:$C$1495,0),0))</f>
        <v>380500</v>
      </c>
      <c r="H98" s="308">
        <f t="shared" ca="1" si="4"/>
        <v>0</v>
      </c>
      <c r="I98" s="308">
        <f t="shared" ca="1" si="5"/>
        <v>761000</v>
      </c>
      <c r="J98" s="308">
        <f t="shared" ca="1" si="6"/>
        <v>0</v>
      </c>
      <c r="K98" s="309">
        <f t="shared" ca="1" si="7"/>
        <v>761000</v>
      </c>
      <c r="L98" s="289"/>
      <c r="M98" s="289"/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724">
        <v>13</v>
      </c>
      <c r="C99" s="725" t="s">
        <v>217</v>
      </c>
      <c r="D99" s="305" t="str">
        <f ca="1">IF(ISERROR(OFFSET('HARGA SATUAN'!$D$6,MATCH(RAB!C99,'HARGA SATUAN'!$C$7:$C$1495,0),0)),"",OFFSET('HARGA SATUAN'!$D$6,MATCH(RAB!C99,'HARGA SATUAN'!$C$7:$C$1495,0),0))</f>
        <v>HDW</v>
      </c>
      <c r="E99" s="306" t="str">
        <f ca="1">IF(B99="+","Unit",IF(ISERROR(OFFSET('HARGA SATUAN'!$E$6,MATCH(RAB!C99,'HARGA SATUAN'!$C$7:$C$1495,0),0)),"",OFFSET('HARGA SATUAN'!$E$6,MATCH(RAB!C99,'HARGA SATUAN'!$C$7:$C$1495,0),0)))</f>
        <v>Bh</v>
      </c>
      <c r="F99" s="726">
        <f>F86*3</f>
        <v>3</v>
      </c>
      <c r="G99" s="307">
        <f ca="1">IF(ISERROR(OFFSET('HARGA SATUAN'!$I$6,MATCH(RAB!C99,'HARGA SATUAN'!$C$7:$C$1495,0),0)),0,OFFSET('HARGA SATUAN'!$I$6,MATCH(RAB!C99,'HARGA SATUAN'!$C$7:$C$1495,0),0))</f>
        <v>11400</v>
      </c>
      <c r="H99" s="308">
        <f t="shared" ca="1" si="4"/>
        <v>0</v>
      </c>
      <c r="I99" s="308">
        <f t="shared" ca="1" si="5"/>
        <v>34200</v>
      </c>
      <c r="J99" s="308">
        <f t="shared" ca="1" si="6"/>
        <v>0</v>
      </c>
      <c r="K99" s="309">
        <f t="shared" ca="1" si="7"/>
        <v>34200</v>
      </c>
      <c r="L99" s="289"/>
      <c r="M99" s="289"/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724">
        <v>14</v>
      </c>
      <c r="C100" s="725" t="s">
        <v>218</v>
      </c>
      <c r="D100" s="305" t="str">
        <f ca="1">IF(ISERROR(OFFSET('HARGA SATUAN'!$D$6,MATCH(RAB!C100,'HARGA SATUAN'!$C$7:$C$1495,0),0)),"",OFFSET('HARGA SATUAN'!$D$6,MATCH(RAB!C100,'HARGA SATUAN'!$C$7:$C$1495,0),0))</f>
        <v>HDW</v>
      </c>
      <c r="E100" s="306" t="str">
        <f ca="1">IF(B100="+","Unit",IF(ISERROR(OFFSET('HARGA SATUAN'!$E$6,MATCH(RAB!C100,'HARGA SATUAN'!$C$7:$C$1495,0),0)),"",OFFSET('HARGA SATUAN'!$E$6,MATCH(RAB!C100,'HARGA SATUAN'!$C$7:$C$1495,0),0)))</f>
        <v>Bh</v>
      </c>
      <c r="F100" s="726">
        <f>F86*4</f>
        <v>4</v>
      </c>
      <c r="G100" s="307">
        <f ca="1">IF(ISERROR(OFFSET('HARGA SATUAN'!$I$6,MATCH(RAB!C100,'HARGA SATUAN'!$C$7:$C$1495,0),0)),0,OFFSET('HARGA SATUAN'!$I$6,MATCH(RAB!C100,'HARGA SATUAN'!$C$7:$C$1495,0),0))</f>
        <v>29600</v>
      </c>
      <c r="H100" s="308">
        <f t="shared" ca="1" si="4"/>
        <v>0</v>
      </c>
      <c r="I100" s="308">
        <f t="shared" ca="1" si="5"/>
        <v>118400</v>
      </c>
      <c r="J100" s="308">
        <f t="shared" ca="1" si="6"/>
        <v>0</v>
      </c>
      <c r="K100" s="309">
        <f t="shared" ca="1" si="7"/>
        <v>118400</v>
      </c>
      <c r="L100" s="289"/>
      <c r="M100" s="289"/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724">
        <v>15</v>
      </c>
      <c r="C101" s="725" t="s">
        <v>223</v>
      </c>
      <c r="D101" s="305" t="str">
        <f ca="1">IF(ISERROR(OFFSET('HARGA SATUAN'!$D$6,MATCH(RAB!C101,'HARGA SATUAN'!$C$7:$C$1495,0),0)),"",OFFSET('HARGA SATUAN'!$D$6,MATCH(RAB!C101,'HARGA SATUAN'!$C$7:$C$1495,0),0))</f>
        <v>HDW</v>
      </c>
      <c r="E101" s="306" t="str">
        <f ca="1">IF(B101="+","Unit",IF(ISERROR(OFFSET('HARGA SATUAN'!$E$6,MATCH(RAB!C101,'HARGA SATUAN'!$C$7:$C$1495,0),0)),"",OFFSET('HARGA SATUAN'!$E$6,MATCH(RAB!C101,'HARGA SATUAN'!$C$7:$C$1495,0),0)))</f>
        <v>Bh</v>
      </c>
      <c r="F101" s="726">
        <f>F86*3</f>
        <v>3</v>
      </c>
      <c r="G101" s="307">
        <f ca="1">IF(ISERROR(OFFSET('HARGA SATUAN'!$I$6,MATCH(RAB!C101,'HARGA SATUAN'!$C$7:$C$1495,0),0)),0,OFFSET('HARGA SATUAN'!$I$6,MATCH(RAB!C101,'HARGA SATUAN'!$C$7:$C$1495,0),0))</f>
        <v>27815</v>
      </c>
      <c r="H101" s="308">
        <f t="shared" ca="1" si="4"/>
        <v>0</v>
      </c>
      <c r="I101" s="308">
        <f t="shared" ca="1" si="5"/>
        <v>83445</v>
      </c>
      <c r="J101" s="308">
        <f t="shared" ca="1" si="6"/>
        <v>0</v>
      </c>
      <c r="K101" s="309">
        <f t="shared" ca="1" si="7"/>
        <v>83445</v>
      </c>
      <c r="L101" s="289"/>
      <c r="M101" s="289"/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724">
        <v>16</v>
      </c>
      <c r="C102" s="725" t="s">
        <v>25</v>
      </c>
      <c r="D102" s="305" t="str">
        <f ca="1">IF(ISERROR(OFFSET('HARGA SATUAN'!$D$6,MATCH(RAB!C102,'HARGA SATUAN'!$C$7:$C$1495,0),0)),"",OFFSET('HARGA SATUAN'!$D$6,MATCH(RAB!C102,'HARGA SATUAN'!$C$7:$C$1495,0),0))</f>
        <v>HDW</v>
      </c>
      <c r="E102" s="306" t="str">
        <f ca="1">IF(B102="+","Unit",IF(ISERROR(OFFSET('HARGA SATUAN'!$E$6,MATCH(RAB!C102,'HARGA SATUAN'!$C$7:$C$1495,0),0)),"",OFFSET('HARGA SATUAN'!$E$6,MATCH(RAB!C102,'HARGA SATUAN'!$C$7:$C$1495,0),0)))</f>
        <v>Bh</v>
      </c>
      <c r="F102" s="726">
        <f>F86*9</f>
        <v>9</v>
      </c>
      <c r="G102" s="307">
        <f ca="1">IF(ISERROR(OFFSET('HARGA SATUAN'!$I$6,MATCH(RAB!C102,'HARGA SATUAN'!$C$7:$C$1495,0),0)),0,OFFSET('HARGA SATUAN'!$I$6,MATCH(RAB!C102,'HARGA SATUAN'!$C$7:$C$1495,0),0))</f>
        <v>23936</v>
      </c>
      <c r="H102" s="308">
        <f t="shared" ca="1" si="4"/>
        <v>0</v>
      </c>
      <c r="I102" s="308">
        <f t="shared" ca="1" si="5"/>
        <v>215424</v>
      </c>
      <c r="J102" s="308">
        <f t="shared" ca="1" si="6"/>
        <v>0</v>
      </c>
      <c r="K102" s="309">
        <f t="shared" ca="1" si="7"/>
        <v>215424</v>
      </c>
      <c r="L102" s="289"/>
      <c r="M102" s="289"/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724">
        <v>17</v>
      </c>
      <c r="C103" s="725" t="s">
        <v>37</v>
      </c>
      <c r="D103" s="305" t="str">
        <f ca="1">IF(ISERROR(OFFSET('HARGA SATUAN'!$D$6,MATCH(RAB!C103,'HARGA SATUAN'!$C$7:$C$1495,0),0)),"",OFFSET('HARGA SATUAN'!$D$6,MATCH(RAB!C103,'HARGA SATUAN'!$C$7:$C$1495,0),0))</f>
        <v>HDW</v>
      </c>
      <c r="E103" s="306" t="str">
        <f ca="1">IF(B103="+","Unit",IF(ISERROR(OFFSET('HARGA SATUAN'!$E$6,MATCH(RAB!C103,'HARGA SATUAN'!$C$7:$C$1495,0),0)),"",OFFSET('HARGA SATUAN'!$E$6,MATCH(RAB!C103,'HARGA SATUAN'!$C$7:$C$1495,0),0)))</f>
        <v>Bh</v>
      </c>
      <c r="F103" s="726">
        <f>F86*1</f>
        <v>1</v>
      </c>
      <c r="G103" s="307">
        <f ca="1">IF(ISERROR(OFFSET('HARGA SATUAN'!$I$6,MATCH(RAB!C103,'HARGA SATUAN'!$C$7:$C$1495,0),0)),0,OFFSET('HARGA SATUAN'!$I$6,MATCH(RAB!C103,'HARGA SATUAN'!$C$7:$C$1495,0),0))</f>
        <v>63500</v>
      </c>
      <c r="H103" s="308">
        <f t="shared" ca="1" si="4"/>
        <v>0</v>
      </c>
      <c r="I103" s="308">
        <f t="shared" ca="1" si="5"/>
        <v>63500</v>
      </c>
      <c r="J103" s="308">
        <f t="shared" ca="1" si="6"/>
        <v>0</v>
      </c>
      <c r="K103" s="309">
        <f t="shared" ca="1" si="7"/>
        <v>63500</v>
      </c>
      <c r="L103" s="289"/>
      <c r="M103" s="289"/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724">
        <v>18</v>
      </c>
      <c r="C104" s="725" t="s">
        <v>27</v>
      </c>
      <c r="D104" s="305" t="str">
        <f ca="1">IF(ISERROR(OFFSET('HARGA SATUAN'!$D$6,MATCH(RAB!C104,'HARGA SATUAN'!$C$7:$C$1495,0),0)),"",OFFSET('HARGA SATUAN'!$D$6,MATCH(RAB!C104,'HARGA SATUAN'!$C$7:$C$1495,0),0))</f>
        <v>HDW</v>
      </c>
      <c r="E104" s="306" t="str">
        <f ca="1">IF(B104="+","Unit",IF(ISERROR(OFFSET('HARGA SATUAN'!$E$6,MATCH(RAB!C104,'HARGA SATUAN'!$C$7:$C$1495,0),0)),"",OFFSET('HARGA SATUAN'!$E$6,MATCH(RAB!C104,'HARGA SATUAN'!$C$7:$C$1495,0),0)))</f>
        <v>Bh</v>
      </c>
      <c r="F104" s="726">
        <f>F86*8</f>
        <v>8</v>
      </c>
      <c r="G104" s="307">
        <f ca="1">IF(ISERROR(OFFSET('HARGA SATUAN'!$I$6,MATCH(RAB!C104,'HARGA SATUAN'!$C$7:$C$1495,0),0)),0,OFFSET('HARGA SATUAN'!$I$6,MATCH(RAB!C104,'HARGA SATUAN'!$C$7:$C$1495,0),0))</f>
        <v>16000</v>
      </c>
      <c r="H104" s="308">
        <f t="shared" ca="1" si="4"/>
        <v>0</v>
      </c>
      <c r="I104" s="308">
        <f t="shared" ca="1" si="5"/>
        <v>128000</v>
      </c>
      <c r="J104" s="308">
        <f t="shared" ca="1" si="6"/>
        <v>0</v>
      </c>
      <c r="K104" s="309">
        <f t="shared" ca="1" si="7"/>
        <v>128000</v>
      </c>
      <c r="L104" s="289"/>
      <c r="M104" s="289"/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724">
        <v>19</v>
      </c>
      <c r="C105" s="725" t="s">
        <v>265</v>
      </c>
      <c r="D105" s="305" t="str">
        <f ca="1">IF(ISERROR(OFFSET('HARGA SATUAN'!$D$6,MATCH(RAB!C105,'HARGA SATUAN'!$C$7:$C$1495,0),0)),"",OFFSET('HARGA SATUAN'!$D$6,MATCH(RAB!C105,'HARGA SATUAN'!$C$7:$C$1495,0),0))</f>
        <v>HDW</v>
      </c>
      <c r="E105" s="306" t="str">
        <f ca="1">IF(B105="+","Unit",IF(ISERROR(OFFSET('HARGA SATUAN'!$E$6,MATCH(RAB!C105,'HARGA SATUAN'!$C$7:$C$1495,0),0)),"",OFFSET('HARGA SATUAN'!$E$6,MATCH(RAB!C105,'HARGA SATUAN'!$C$7:$C$1495,0),0)))</f>
        <v>Bh</v>
      </c>
      <c r="F105" s="726">
        <f>F86*2</f>
        <v>2</v>
      </c>
      <c r="G105" s="307">
        <f ca="1">IF(ISERROR(OFFSET('HARGA SATUAN'!$I$6,MATCH(RAB!C105,'HARGA SATUAN'!$C$7:$C$1495,0),0)),0,OFFSET('HARGA SATUAN'!$I$6,MATCH(RAB!C105,'HARGA SATUAN'!$C$7:$C$1495,0),0))</f>
        <v>33501.866666666669</v>
      </c>
      <c r="H105" s="308">
        <f t="shared" ca="1" si="4"/>
        <v>0</v>
      </c>
      <c r="I105" s="308">
        <f t="shared" ca="1" si="5"/>
        <v>67003.733333333337</v>
      </c>
      <c r="J105" s="308">
        <f t="shared" ca="1" si="6"/>
        <v>0</v>
      </c>
      <c r="K105" s="309">
        <f t="shared" ca="1" si="7"/>
        <v>67003.733333333337</v>
      </c>
      <c r="L105" s="289"/>
      <c r="M105" s="289"/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724">
        <v>20</v>
      </c>
      <c r="C106" s="725" t="s">
        <v>38</v>
      </c>
      <c r="D106" s="305" t="str">
        <f ca="1">IF(ISERROR(OFFSET('HARGA SATUAN'!$D$6,MATCH(RAB!C106,'HARGA SATUAN'!$C$7:$C$1495,0),0)),"",OFFSET('HARGA SATUAN'!$D$6,MATCH(RAB!C106,'HARGA SATUAN'!$C$7:$C$1495,0),0))</f>
        <v>HDW</v>
      </c>
      <c r="E106" s="306" t="str">
        <f ca="1">IF(B106="+","Unit",IF(ISERROR(OFFSET('HARGA SATUAN'!$E$6,MATCH(RAB!C106,'HARGA SATUAN'!$C$7:$C$1495,0),0)),"",OFFSET('HARGA SATUAN'!$E$6,MATCH(RAB!C106,'HARGA SATUAN'!$C$7:$C$1495,0),0)))</f>
        <v>Mtr</v>
      </c>
      <c r="F106" s="726">
        <f>5.4*F86</f>
        <v>5.4</v>
      </c>
      <c r="G106" s="307">
        <f ca="1">IF(ISERROR(OFFSET('HARGA SATUAN'!$I$6,MATCH(RAB!C106,'HARGA SATUAN'!$C$7:$C$1495,0),0)),0,OFFSET('HARGA SATUAN'!$I$6,MATCH(RAB!C106,'HARGA SATUAN'!$C$7:$C$1495,0),0))</f>
        <v>8550</v>
      </c>
      <c r="H106" s="308">
        <f t="shared" ca="1" si="4"/>
        <v>0</v>
      </c>
      <c r="I106" s="308">
        <f t="shared" ca="1" si="5"/>
        <v>46170</v>
      </c>
      <c r="J106" s="308">
        <f t="shared" ca="1" si="6"/>
        <v>0</v>
      </c>
      <c r="K106" s="309">
        <f t="shared" ca="1" si="7"/>
        <v>46170</v>
      </c>
      <c r="L106" s="289"/>
      <c r="M106" s="289"/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>
      <c r="A107" s="283"/>
      <c r="B107" s="724">
        <v>21</v>
      </c>
      <c r="C107" s="725" t="s">
        <v>26</v>
      </c>
      <c r="D107" s="305" t="str">
        <f ca="1">IF(ISERROR(OFFSET('HARGA SATUAN'!$D$6,MATCH(RAB!C107,'HARGA SATUAN'!$C$7:$C$1495,0),0)),"",OFFSET('HARGA SATUAN'!$D$6,MATCH(RAB!C107,'HARGA SATUAN'!$C$7:$C$1495,0),0))</f>
        <v>HDW</v>
      </c>
      <c r="E107" s="306" t="str">
        <f ca="1">IF(B107="+","Unit",IF(ISERROR(OFFSET('HARGA SATUAN'!$E$6,MATCH(RAB!C107,'HARGA SATUAN'!$C$7:$C$1495,0),0)),"",OFFSET('HARGA SATUAN'!$E$6,MATCH(RAB!C107,'HARGA SATUAN'!$C$7:$C$1495,0),0)))</f>
        <v>Bh</v>
      </c>
      <c r="F107" s="726">
        <f>F86*13</f>
        <v>13</v>
      </c>
      <c r="G107" s="307">
        <f ca="1">IF(ISERROR(OFFSET('HARGA SATUAN'!$I$6,MATCH(RAB!C107,'HARGA SATUAN'!$C$7:$C$1495,0),0)),0,OFFSET('HARGA SATUAN'!$I$6,MATCH(RAB!C107,'HARGA SATUAN'!$C$7:$C$1495,0),0))</f>
        <v>2500</v>
      </c>
      <c r="H107" s="308">
        <f t="shared" ca="1" si="4"/>
        <v>0</v>
      </c>
      <c r="I107" s="308">
        <f t="shared" ca="1" si="5"/>
        <v>32500</v>
      </c>
      <c r="J107" s="308">
        <f t="shared" ca="1" si="6"/>
        <v>0</v>
      </c>
      <c r="K107" s="309">
        <f t="shared" ca="1" si="7"/>
        <v>32500</v>
      </c>
      <c r="L107" s="289"/>
      <c r="M107" s="289"/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724">
        <v>22</v>
      </c>
      <c r="C108" s="718" t="s">
        <v>708</v>
      </c>
      <c r="D108" s="305" t="str">
        <f ca="1">IF(ISERROR(OFFSET('HARGA SATUAN'!$D$6,MATCH(RAB!C108,'HARGA SATUAN'!$C$7:$C$1495,0),0)),"",OFFSET('HARGA SATUAN'!$D$6,MATCH(RAB!C108,'HARGA SATUAN'!$C$7:$C$1495,0),0))</f>
        <v>JASA</v>
      </c>
      <c r="E108" s="306" t="str">
        <f ca="1">IF(B108="+","Unit",IF(ISERROR(OFFSET('HARGA SATUAN'!$E$6,MATCH(RAB!C108,'HARGA SATUAN'!$C$7:$C$1495,0),0)),"",OFFSET('HARGA SATUAN'!$E$6,MATCH(RAB!C108,'HARGA SATUAN'!$C$7:$C$1495,0),0)))</f>
        <v>Unit</v>
      </c>
      <c r="F108" s="726">
        <f>F86*1</f>
        <v>1</v>
      </c>
      <c r="G108" s="307">
        <f ca="1">IF(ISERROR(OFFSET('HARGA SATUAN'!$I$6,MATCH(RAB!C108,'HARGA SATUAN'!$C$7:$C$1495,0),0)),0,OFFSET('HARGA SATUAN'!$I$6,MATCH(RAB!C108,'HARGA SATUAN'!$C$7:$C$1495,0),0))</f>
        <v>254900</v>
      </c>
      <c r="H108" s="308">
        <f t="shared" ca="1" si="4"/>
        <v>0</v>
      </c>
      <c r="I108" s="308">
        <f t="shared" ca="1" si="5"/>
        <v>0</v>
      </c>
      <c r="J108" s="308">
        <f t="shared" ca="1" si="6"/>
        <v>254900</v>
      </c>
      <c r="K108" s="309">
        <f t="shared" ca="1" si="7"/>
        <v>254900</v>
      </c>
      <c r="L108" s="289"/>
      <c r="M108" s="289"/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>
      <c r="A109" s="283"/>
      <c r="B109" s="724"/>
      <c r="C109" s="718"/>
      <c r="D109" s="305" t="str">
        <f ca="1">IF(ISERROR(OFFSET('HARGA SATUAN'!$D$6,MATCH(RAB!C109,'HARGA SATUAN'!$C$7:$C$1495,0),0)),"",OFFSET('HARGA SATUAN'!$D$6,MATCH(RAB!C109,'HARGA SATUAN'!$C$7:$C$1495,0),0))</f>
        <v/>
      </c>
      <c r="E109" s="306" t="str">
        <f ca="1">IF(B109="+","Unit",IF(ISERROR(OFFSET('HARGA SATUAN'!$E$6,MATCH(RAB!C109,'HARGA SATUAN'!$C$7:$C$1495,0),0)),"",OFFSET('HARGA SATUAN'!$E$6,MATCH(RAB!C109,'HARGA SATUAN'!$C$7:$C$1495,0),0)))</f>
        <v/>
      </c>
      <c r="F109" s="726"/>
      <c r="G109" s="307">
        <f ca="1">IF(ISERROR(OFFSET('HARGA SATUAN'!$I$6,MATCH(RAB!C109,'HARGA SATUAN'!$C$7:$C$1495,0),0)),0,OFFSET('HARGA SATUAN'!$I$6,MATCH(RAB!C109,'HARGA SATUAN'!$C$7:$C$1495,0),0))</f>
        <v>0</v>
      </c>
      <c r="H109" s="308">
        <f t="shared" ca="1" si="4"/>
        <v>0</v>
      </c>
      <c r="I109" s="308">
        <f t="shared" ca="1" si="5"/>
        <v>0</v>
      </c>
      <c r="J109" s="308">
        <f t="shared" ca="1" si="6"/>
        <v>0</v>
      </c>
      <c r="K109" s="309">
        <f t="shared" ca="1" si="7"/>
        <v>0</v>
      </c>
      <c r="L109" s="289"/>
      <c r="M109" s="289"/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717" t="s">
        <v>1035</v>
      </c>
      <c r="C110" s="718" t="s">
        <v>1639</v>
      </c>
      <c r="D110" s="305" t="str">
        <f ca="1">IF(ISERROR(OFFSET('HARGA SATUAN'!$D$6,MATCH(RAB!C110,'HARGA SATUAN'!$C$7:$C$1495,0),0)),"",OFFSET('HARGA SATUAN'!$D$6,MATCH(RAB!C110,'HARGA SATUAN'!$C$7:$C$1495,0),0))</f>
        <v/>
      </c>
      <c r="E110" s="306" t="str">
        <f ca="1">IF(B110="+","Unit",IF(ISERROR(OFFSET('HARGA SATUAN'!$E$6,MATCH(RAB!C110,'HARGA SATUAN'!$C$7:$C$1495,0),0)),"",OFFSET('HARGA SATUAN'!$E$6,MATCH(RAB!C110,'HARGA SATUAN'!$C$7:$C$1495,0),0)))</f>
        <v>Unit</v>
      </c>
      <c r="F110" s="452">
        <v>9</v>
      </c>
      <c r="G110" s="307">
        <f ca="1">IF(ISERROR(OFFSET('HARGA SATUAN'!$I$6,MATCH(RAB!C110,'HARGA SATUAN'!$C$7:$C$1495,0),0)),0,OFFSET('HARGA SATUAN'!$I$6,MATCH(RAB!C110,'HARGA SATUAN'!$C$7:$C$1495,0),0))</f>
        <v>0</v>
      </c>
      <c r="H110" s="308">
        <f t="shared" ca="1" si="4"/>
        <v>0</v>
      </c>
      <c r="I110" s="308">
        <f t="shared" ca="1" si="5"/>
        <v>0</v>
      </c>
      <c r="J110" s="308">
        <f t="shared" ca="1" si="6"/>
        <v>0</v>
      </c>
      <c r="K110" s="309">
        <f t="shared" ca="1" si="7"/>
        <v>0</v>
      </c>
      <c r="L110" s="289"/>
      <c r="M110" s="289"/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>
      <c r="A111" s="283"/>
      <c r="B111" s="717">
        <v>1</v>
      </c>
      <c r="C111" s="718" t="s">
        <v>1608</v>
      </c>
      <c r="D111" s="305" t="str">
        <f ca="1">IF(ISERROR(OFFSET('HARGA SATUAN'!$D$6,MATCH(RAB!C111,'HARGA SATUAN'!$C$7:$C$1495,0),0)),"",OFFSET('HARGA SATUAN'!$D$6,MATCH(RAB!C111,'HARGA SATUAN'!$C$7:$C$1495,0),0))</f>
        <v>MDU-KD</v>
      </c>
      <c r="E111" s="306" t="str">
        <f ca="1">IF(B111="+","Unit",IF(ISERROR(OFFSET('HARGA SATUAN'!$E$6,MATCH(RAB!C111,'HARGA SATUAN'!$C$7:$C$1495,0),0)),"",OFFSET('HARGA SATUAN'!$E$6,MATCH(RAB!C111,'HARGA SATUAN'!$C$7:$C$1495,0),0)))</f>
        <v>Bh</v>
      </c>
      <c r="F111" s="452">
        <f>F110*1</f>
        <v>9</v>
      </c>
      <c r="G111" s="307">
        <f ca="1">IF(ISERROR(OFFSET('HARGA SATUAN'!$I$6,MATCH(RAB!C111,'HARGA SATUAN'!$C$7:$C$1495,0),0)),0,OFFSET('HARGA SATUAN'!$I$6,MATCH(RAB!C111,'HARGA SATUAN'!$C$7:$C$1495,0),0))</f>
        <v>176900</v>
      </c>
      <c r="H111" s="308">
        <f t="shared" ca="1" si="4"/>
        <v>1592100</v>
      </c>
      <c r="I111" s="308">
        <f t="shared" ca="1" si="5"/>
        <v>0</v>
      </c>
      <c r="J111" s="308">
        <f t="shared" ca="1" si="6"/>
        <v>0</v>
      </c>
      <c r="K111" s="309">
        <f t="shared" ca="1" si="7"/>
        <v>1592100</v>
      </c>
      <c r="L111" s="289"/>
      <c r="M111" s="289"/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717">
        <v>2</v>
      </c>
      <c r="C112" s="718" t="s">
        <v>1609</v>
      </c>
      <c r="D112" s="305" t="str">
        <f ca="1">IF(ISERROR(OFFSET('HARGA SATUAN'!$D$6,MATCH(RAB!C112,'HARGA SATUAN'!$C$7:$C$1495,0),0)),"",OFFSET('HARGA SATUAN'!$D$6,MATCH(RAB!C112,'HARGA SATUAN'!$C$7:$C$1495,0),0))</f>
        <v>MDU-KD</v>
      </c>
      <c r="E112" s="306" t="str">
        <f ca="1">IF(B112="+","Unit",IF(ISERROR(OFFSET('HARGA SATUAN'!$E$6,MATCH(RAB!C112,'HARGA SATUAN'!$C$7:$C$1495,0),0)),"",OFFSET('HARGA SATUAN'!$E$6,MATCH(RAB!C112,'HARGA SATUAN'!$C$7:$C$1495,0),0)))</f>
        <v>Bh</v>
      </c>
      <c r="F112" s="452">
        <f>F110*2</f>
        <v>18</v>
      </c>
      <c r="G112" s="307">
        <f ca="1">IF(ISERROR(OFFSET('HARGA SATUAN'!$I$6,MATCH(RAB!C112,'HARGA SATUAN'!$C$7:$C$1495,0),0)),0,OFFSET('HARGA SATUAN'!$I$6,MATCH(RAB!C112,'HARGA SATUAN'!$C$7:$C$1495,0),0))</f>
        <v>235900</v>
      </c>
      <c r="H112" s="308">
        <f t="shared" ca="1" si="4"/>
        <v>4246200</v>
      </c>
      <c r="I112" s="308">
        <f t="shared" ca="1" si="5"/>
        <v>0</v>
      </c>
      <c r="J112" s="308">
        <f t="shared" ca="1" si="6"/>
        <v>0</v>
      </c>
      <c r="K112" s="309">
        <f t="shared" ca="1" si="7"/>
        <v>4246200</v>
      </c>
      <c r="L112" s="289"/>
      <c r="M112" s="289"/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>
      <c r="A113" s="283"/>
      <c r="B113" s="717">
        <v>3</v>
      </c>
      <c r="C113" s="718" t="s">
        <v>28</v>
      </c>
      <c r="D113" s="305" t="str">
        <f ca="1">IF(ISERROR(OFFSET('HARGA SATUAN'!$D$6,MATCH(RAB!C113,'HARGA SATUAN'!$C$7:$C$1495,0),0)),"",OFFSET('HARGA SATUAN'!$D$6,MATCH(RAB!C113,'HARGA SATUAN'!$C$7:$C$1495,0),0))</f>
        <v>HDW</v>
      </c>
      <c r="E113" s="306" t="str">
        <f ca="1">IF(B113="+","Unit",IF(ISERROR(OFFSET('HARGA SATUAN'!$E$6,MATCH(RAB!C113,'HARGA SATUAN'!$C$7:$C$1495,0),0)),"",OFFSET('HARGA SATUAN'!$E$6,MATCH(RAB!C113,'HARGA SATUAN'!$C$7:$C$1495,0),0)))</f>
        <v>Bh</v>
      </c>
      <c r="F113" s="452">
        <f>F110*3</f>
        <v>27</v>
      </c>
      <c r="G113" s="307">
        <f ca="1">IF(ISERROR(OFFSET('HARGA SATUAN'!$I$6,MATCH(RAB!C113,'HARGA SATUAN'!$C$7:$C$1495,0),0)),0,OFFSET('HARGA SATUAN'!$I$6,MATCH(RAB!C113,'HARGA SATUAN'!$C$7:$C$1495,0),0))</f>
        <v>26500</v>
      </c>
      <c r="H113" s="308">
        <f t="shared" ca="1" si="4"/>
        <v>0</v>
      </c>
      <c r="I113" s="308">
        <f t="shared" ca="1" si="5"/>
        <v>715500</v>
      </c>
      <c r="J113" s="308">
        <f t="shared" ca="1" si="6"/>
        <v>0</v>
      </c>
      <c r="K113" s="309">
        <f t="shared" ca="1" si="7"/>
        <v>715500</v>
      </c>
      <c r="L113" s="289"/>
      <c r="M113" s="289"/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717">
        <v>4</v>
      </c>
      <c r="C114" s="718" t="s">
        <v>163</v>
      </c>
      <c r="D114" s="305" t="str">
        <f ca="1">IF(ISERROR(OFFSET('HARGA SATUAN'!$D$6,MATCH(RAB!C114,'HARGA SATUAN'!$C$7:$C$1495,0),0)),"",OFFSET('HARGA SATUAN'!$D$6,MATCH(RAB!C114,'HARGA SATUAN'!$C$7:$C$1495,0),0))</f>
        <v>HDW</v>
      </c>
      <c r="E114" s="306" t="str">
        <f ca="1">IF(B114="+","Unit",IF(ISERROR(OFFSET('HARGA SATUAN'!$E$6,MATCH(RAB!C114,'HARGA SATUAN'!$C$7:$C$1495,0),0)),"",OFFSET('HARGA SATUAN'!$E$6,MATCH(RAB!C114,'HARGA SATUAN'!$C$7:$C$1495,0),0)))</f>
        <v>Bh</v>
      </c>
      <c r="F114" s="452">
        <f>F110*2</f>
        <v>18</v>
      </c>
      <c r="G114" s="307">
        <f ca="1">IF(ISERROR(OFFSET('HARGA SATUAN'!$I$6,MATCH(RAB!C114,'HARGA SATUAN'!$C$7:$C$1495,0),0)),0,OFFSET('HARGA SATUAN'!$I$6,MATCH(RAB!C114,'HARGA SATUAN'!$C$7:$C$1495,0),0))</f>
        <v>7938</v>
      </c>
      <c r="H114" s="308">
        <f t="shared" ca="1" si="4"/>
        <v>0</v>
      </c>
      <c r="I114" s="308">
        <f t="shared" ca="1" si="5"/>
        <v>142884</v>
      </c>
      <c r="J114" s="308">
        <f t="shared" ca="1" si="6"/>
        <v>0</v>
      </c>
      <c r="K114" s="309">
        <f t="shared" ca="1" si="7"/>
        <v>142884</v>
      </c>
      <c r="L114" s="289"/>
      <c r="M114" s="289"/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>
      <c r="A115" s="283"/>
      <c r="B115" s="717">
        <v>5</v>
      </c>
      <c r="C115" s="718" t="s">
        <v>168</v>
      </c>
      <c r="D115" s="305" t="str">
        <f ca="1">IF(ISERROR(OFFSET('HARGA SATUAN'!$D$6,MATCH(RAB!C115,'HARGA SATUAN'!$C$7:$C$1495,0),0)),"",OFFSET('HARGA SATUAN'!$D$6,MATCH(RAB!C115,'HARGA SATUAN'!$C$7:$C$1495,0),0))</f>
        <v>HDW</v>
      </c>
      <c r="E115" s="306" t="str">
        <f ca="1">IF(B115="+","Unit",IF(ISERROR(OFFSET('HARGA SATUAN'!$E$6,MATCH(RAB!C115,'HARGA SATUAN'!$C$7:$C$1495,0),0)),"",OFFSET('HARGA SATUAN'!$E$6,MATCH(RAB!C115,'HARGA SATUAN'!$C$7:$C$1495,0),0)))</f>
        <v>Bh</v>
      </c>
      <c r="F115" s="452">
        <f>F110*1</f>
        <v>9</v>
      </c>
      <c r="G115" s="307">
        <f ca="1">IF(ISERROR(OFFSET('HARGA SATUAN'!$I$6,MATCH(RAB!C115,'HARGA SATUAN'!$C$7:$C$1495,0),0)),0,OFFSET('HARGA SATUAN'!$I$6,MATCH(RAB!C115,'HARGA SATUAN'!$C$7:$C$1495,0),0))</f>
        <v>33600</v>
      </c>
      <c r="H115" s="308">
        <f t="shared" ca="1" si="4"/>
        <v>0</v>
      </c>
      <c r="I115" s="308">
        <f t="shared" ca="1" si="5"/>
        <v>302400</v>
      </c>
      <c r="J115" s="308">
        <f t="shared" ca="1" si="6"/>
        <v>0</v>
      </c>
      <c r="K115" s="309">
        <f t="shared" ca="1" si="7"/>
        <v>302400</v>
      </c>
      <c r="L115" s="289"/>
      <c r="M115" s="289"/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717">
        <v>6</v>
      </c>
      <c r="C116" s="718" t="s">
        <v>173</v>
      </c>
      <c r="D116" s="305" t="str">
        <f ca="1">IF(ISERROR(OFFSET('HARGA SATUAN'!$D$6,MATCH(RAB!C116,'HARGA SATUAN'!$C$7:$C$1495,0),0)),"",OFFSET('HARGA SATUAN'!$D$6,MATCH(RAB!C116,'HARGA SATUAN'!$C$7:$C$1495,0),0))</f>
        <v>HDW</v>
      </c>
      <c r="E116" s="306" t="str">
        <f ca="1">IF(B116="+","Unit",IF(ISERROR(OFFSET('HARGA SATUAN'!$E$6,MATCH(RAB!C116,'HARGA SATUAN'!$C$7:$C$1495,0),0)),"",OFFSET('HARGA SATUAN'!$E$6,MATCH(RAB!C116,'HARGA SATUAN'!$C$7:$C$1495,0),0)))</f>
        <v>Bh</v>
      </c>
      <c r="F116" s="452">
        <f>F110*2</f>
        <v>18</v>
      </c>
      <c r="G116" s="307">
        <f ca="1">IF(ISERROR(OFFSET('HARGA SATUAN'!$I$6,MATCH(RAB!C116,'HARGA SATUAN'!$C$7:$C$1495,0),0)),0,OFFSET('HARGA SATUAN'!$I$6,MATCH(RAB!C116,'HARGA SATUAN'!$C$7:$C$1495,0),0))</f>
        <v>45000</v>
      </c>
      <c r="H116" s="308">
        <f t="shared" ca="1" si="4"/>
        <v>0</v>
      </c>
      <c r="I116" s="308">
        <f t="shared" ca="1" si="5"/>
        <v>810000</v>
      </c>
      <c r="J116" s="308">
        <f t="shared" ca="1" si="6"/>
        <v>0</v>
      </c>
      <c r="K116" s="309">
        <f t="shared" ca="1" si="7"/>
        <v>810000</v>
      </c>
      <c r="L116" s="289"/>
      <c r="M116" s="289"/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717">
        <v>7</v>
      </c>
      <c r="C117" s="718" t="s">
        <v>178</v>
      </c>
      <c r="D117" s="305" t="str">
        <f ca="1">IF(ISERROR(OFFSET('HARGA SATUAN'!$D$6,MATCH(RAB!C117,'HARGA SATUAN'!$C$7:$C$1495,0),0)),"",OFFSET('HARGA SATUAN'!$D$6,MATCH(RAB!C117,'HARGA SATUAN'!$C$7:$C$1495,0),0))</f>
        <v>HDW</v>
      </c>
      <c r="E117" s="306" t="str">
        <f ca="1">IF(B117="+","Unit",IF(ISERROR(OFFSET('HARGA SATUAN'!$E$6,MATCH(RAB!C117,'HARGA SATUAN'!$C$7:$C$1495,0),0)),"",OFFSET('HARGA SATUAN'!$E$6,MATCH(RAB!C117,'HARGA SATUAN'!$C$7:$C$1495,0),0)))</f>
        <v>Bh</v>
      </c>
      <c r="F117" s="452">
        <f>F110*1</f>
        <v>9</v>
      </c>
      <c r="G117" s="307">
        <f ca="1">IF(ISERROR(OFFSET('HARGA SATUAN'!$I$6,MATCH(RAB!C117,'HARGA SATUAN'!$C$7:$C$1495,0),0)),0,OFFSET('HARGA SATUAN'!$I$6,MATCH(RAB!C117,'HARGA SATUAN'!$C$7:$C$1495,0),0))</f>
        <v>95000</v>
      </c>
      <c r="H117" s="308">
        <f t="shared" ca="1" si="4"/>
        <v>0</v>
      </c>
      <c r="I117" s="308">
        <f t="shared" ca="1" si="5"/>
        <v>855000</v>
      </c>
      <c r="J117" s="308">
        <f t="shared" ca="1" si="6"/>
        <v>0</v>
      </c>
      <c r="K117" s="309">
        <f t="shared" ca="1" si="7"/>
        <v>855000</v>
      </c>
      <c r="L117" s="289"/>
      <c r="M117" s="289"/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717">
        <v>8</v>
      </c>
      <c r="C118" s="718" t="s">
        <v>593</v>
      </c>
      <c r="D118" s="305" t="str">
        <f ca="1">IF(ISERROR(OFFSET('HARGA SATUAN'!$D$6,MATCH(RAB!C118,'HARGA SATUAN'!$C$7:$C$1495,0),0)),"",OFFSET('HARGA SATUAN'!$D$6,MATCH(RAB!C118,'HARGA SATUAN'!$C$7:$C$1495,0),0))</f>
        <v>HDW</v>
      </c>
      <c r="E118" s="306" t="str">
        <f ca="1">IF(B118="+","Unit",IF(ISERROR(OFFSET('HARGA SATUAN'!$E$6,MATCH(RAB!C118,'HARGA SATUAN'!$C$7:$C$1495,0),0)),"",OFFSET('HARGA SATUAN'!$E$6,MATCH(RAB!C118,'HARGA SATUAN'!$C$7:$C$1495,0),0)))</f>
        <v>Bh</v>
      </c>
      <c r="F118" s="452">
        <f>F110*1</f>
        <v>9</v>
      </c>
      <c r="G118" s="307">
        <f ca="1">IF(ISERROR(OFFSET('HARGA SATUAN'!$I$6,MATCH(RAB!C118,'HARGA SATUAN'!$C$7:$C$1495,0),0)),0,OFFSET('HARGA SATUAN'!$I$6,MATCH(RAB!C118,'HARGA SATUAN'!$C$7:$C$1495,0),0))</f>
        <v>380500</v>
      </c>
      <c r="H118" s="308">
        <f t="shared" ca="1" si="4"/>
        <v>0</v>
      </c>
      <c r="I118" s="308">
        <f t="shared" ca="1" si="5"/>
        <v>3424500</v>
      </c>
      <c r="J118" s="308">
        <f t="shared" ca="1" si="6"/>
        <v>0</v>
      </c>
      <c r="K118" s="309">
        <f t="shared" ca="1" si="7"/>
        <v>3424500</v>
      </c>
      <c r="L118" s="289"/>
      <c r="M118" s="289"/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717">
        <v>9</v>
      </c>
      <c r="C119" s="718" t="s">
        <v>217</v>
      </c>
      <c r="D119" s="305" t="str">
        <f ca="1">IF(ISERROR(OFFSET('HARGA SATUAN'!$D$6,MATCH(RAB!C119,'HARGA SATUAN'!$C$7:$C$1495,0),0)),"",OFFSET('HARGA SATUAN'!$D$6,MATCH(RAB!C119,'HARGA SATUAN'!$C$7:$C$1495,0),0))</f>
        <v>HDW</v>
      </c>
      <c r="E119" s="306" t="str">
        <f ca="1">IF(B119="+","Unit",IF(ISERROR(OFFSET('HARGA SATUAN'!$E$6,MATCH(RAB!C119,'HARGA SATUAN'!$C$7:$C$1495,0),0)),"",OFFSET('HARGA SATUAN'!$E$6,MATCH(RAB!C119,'HARGA SATUAN'!$C$7:$C$1495,0),0)))</f>
        <v>Bh</v>
      </c>
      <c r="F119" s="452">
        <f>F110*4</f>
        <v>36</v>
      </c>
      <c r="G119" s="307">
        <f ca="1">IF(ISERROR(OFFSET('HARGA SATUAN'!$I$6,MATCH(RAB!C119,'HARGA SATUAN'!$C$7:$C$1495,0),0)),0,OFFSET('HARGA SATUAN'!$I$6,MATCH(RAB!C119,'HARGA SATUAN'!$C$7:$C$1495,0),0))</f>
        <v>11400</v>
      </c>
      <c r="H119" s="308">
        <f t="shared" ca="1" si="4"/>
        <v>0</v>
      </c>
      <c r="I119" s="308">
        <f t="shared" ca="1" si="5"/>
        <v>410400</v>
      </c>
      <c r="J119" s="308">
        <f t="shared" ca="1" si="6"/>
        <v>0</v>
      </c>
      <c r="K119" s="309">
        <f t="shared" ca="1" si="7"/>
        <v>410400</v>
      </c>
      <c r="L119" s="289"/>
      <c r="M119" s="289"/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717">
        <v>10</v>
      </c>
      <c r="C120" s="718" t="s">
        <v>247</v>
      </c>
      <c r="D120" s="305" t="str">
        <f ca="1">IF(ISERROR(OFFSET('HARGA SATUAN'!$D$6,MATCH(RAB!C120,'HARGA SATUAN'!$C$7:$C$1495,0),0)),"",OFFSET('HARGA SATUAN'!$D$6,MATCH(RAB!C120,'HARGA SATUAN'!$C$7:$C$1495,0),0))</f>
        <v>HDW</v>
      </c>
      <c r="E120" s="306" t="str">
        <f ca="1">IF(B120="+","Unit",IF(ISERROR(OFFSET('HARGA SATUAN'!$E$6,MATCH(RAB!C120,'HARGA SATUAN'!$C$7:$C$1495,0),0)),"",OFFSET('HARGA SATUAN'!$E$6,MATCH(RAB!C120,'HARGA SATUAN'!$C$7:$C$1495,0),0)))</f>
        <v>Bh</v>
      </c>
      <c r="F120" s="452">
        <f>F110*1</f>
        <v>9</v>
      </c>
      <c r="G120" s="307">
        <f ca="1">IF(ISERROR(OFFSET('HARGA SATUAN'!$I$6,MATCH(RAB!C120,'HARGA SATUAN'!$C$7:$C$1495,0),0)),0,OFFSET('HARGA SATUAN'!$I$6,MATCH(RAB!C120,'HARGA SATUAN'!$C$7:$C$1495,0),0))</f>
        <v>57690</v>
      </c>
      <c r="H120" s="308">
        <f t="shared" ca="1" si="4"/>
        <v>0</v>
      </c>
      <c r="I120" s="308">
        <f t="shared" ca="1" si="5"/>
        <v>519210</v>
      </c>
      <c r="J120" s="308">
        <f t="shared" ca="1" si="6"/>
        <v>0</v>
      </c>
      <c r="K120" s="309">
        <f t="shared" ca="1" si="7"/>
        <v>519210</v>
      </c>
      <c r="L120" s="289"/>
      <c r="M120" s="289"/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717">
        <v>11</v>
      </c>
      <c r="C121" s="718" t="s">
        <v>264</v>
      </c>
      <c r="D121" s="305" t="str">
        <f ca="1">IF(ISERROR(OFFSET('HARGA SATUAN'!$D$6,MATCH(RAB!C121,'HARGA SATUAN'!$C$7:$C$1495,0),0)),"",OFFSET('HARGA SATUAN'!$D$6,MATCH(RAB!C121,'HARGA SATUAN'!$C$7:$C$1495,0),0))</f>
        <v>HDW</v>
      </c>
      <c r="E121" s="306" t="str">
        <f ca="1">IF(B121="+","Unit",IF(ISERROR(OFFSET('HARGA SATUAN'!$E$6,MATCH(RAB!C121,'HARGA SATUAN'!$C$7:$C$1495,0),0)),"",OFFSET('HARGA SATUAN'!$E$6,MATCH(RAB!C121,'HARGA SATUAN'!$C$7:$C$1495,0),0)))</f>
        <v>Bh</v>
      </c>
      <c r="F121" s="452">
        <f>F110*1</f>
        <v>9</v>
      </c>
      <c r="G121" s="307">
        <f ca="1">IF(ISERROR(OFFSET('HARGA SATUAN'!$I$6,MATCH(RAB!C121,'HARGA SATUAN'!$C$7:$C$1495,0),0)),0,OFFSET('HARGA SATUAN'!$I$6,MATCH(RAB!C121,'HARGA SATUAN'!$C$7:$C$1495,0),0))</f>
        <v>28000</v>
      </c>
      <c r="H121" s="308">
        <f t="shared" ca="1" si="4"/>
        <v>0</v>
      </c>
      <c r="I121" s="308">
        <f t="shared" ca="1" si="5"/>
        <v>252000</v>
      </c>
      <c r="J121" s="308">
        <f t="shared" ca="1" si="6"/>
        <v>0</v>
      </c>
      <c r="K121" s="309">
        <f t="shared" ca="1" si="7"/>
        <v>252000</v>
      </c>
      <c r="L121" s="289"/>
      <c r="M121" s="289"/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717">
        <v>12</v>
      </c>
      <c r="C122" s="718" t="s">
        <v>38</v>
      </c>
      <c r="D122" s="305" t="str">
        <f ca="1">IF(ISERROR(OFFSET('HARGA SATUAN'!$D$6,MATCH(RAB!C122,'HARGA SATUAN'!$C$7:$C$1495,0),0)),"",OFFSET('HARGA SATUAN'!$D$6,MATCH(RAB!C122,'HARGA SATUAN'!$C$7:$C$1495,0),0))</f>
        <v>HDW</v>
      </c>
      <c r="E122" s="306" t="str">
        <f ca="1">IF(B122="+","Unit",IF(ISERROR(OFFSET('HARGA SATUAN'!$E$6,MATCH(RAB!C122,'HARGA SATUAN'!$C$7:$C$1495,0),0)),"",OFFSET('HARGA SATUAN'!$E$6,MATCH(RAB!C122,'HARGA SATUAN'!$C$7:$C$1495,0),0)))</f>
        <v>Mtr</v>
      </c>
      <c r="F122" s="452">
        <f>6.2*F110</f>
        <v>55.800000000000004</v>
      </c>
      <c r="G122" s="307">
        <f ca="1">IF(ISERROR(OFFSET('HARGA SATUAN'!$I$6,MATCH(RAB!C122,'HARGA SATUAN'!$C$7:$C$1495,0),0)),0,OFFSET('HARGA SATUAN'!$I$6,MATCH(RAB!C122,'HARGA SATUAN'!$C$7:$C$1495,0),0))</f>
        <v>8550</v>
      </c>
      <c r="H122" s="308">
        <f t="shared" ca="1" si="4"/>
        <v>0</v>
      </c>
      <c r="I122" s="308">
        <f t="shared" ca="1" si="5"/>
        <v>477090.00000000006</v>
      </c>
      <c r="J122" s="308">
        <f t="shared" ca="1" si="6"/>
        <v>0</v>
      </c>
      <c r="K122" s="309">
        <f t="shared" ca="1" si="7"/>
        <v>477090.00000000006</v>
      </c>
      <c r="L122" s="289"/>
      <c r="M122" s="289"/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717">
        <v>13</v>
      </c>
      <c r="C123" s="718" t="s">
        <v>26</v>
      </c>
      <c r="D123" s="305" t="str">
        <f ca="1">IF(ISERROR(OFFSET('HARGA SATUAN'!$D$6,MATCH(RAB!C123,'HARGA SATUAN'!$C$7:$C$1495,0),0)),"",OFFSET('HARGA SATUAN'!$D$6,MATCH(RAB!C123,'HARGA SATUAN'!$C$7:$C$1495,0),0))</f>
        <v>HDW</v>
      </c>
      <c r="E123" s="306" t="str">
        <f ca="1">IF(B123="+","Unit",IF(ISERROR(OFFSET('HARGA SATUAN'!$E$6,MATCH(RAB!C123,'HARGA SATUAN'!$C$7:$C$1495,0),0)),"",OFFSET('HARGA SATUAN'!$E$6,MATCH(RAB!C123,'HARGA SATUAN'!$C$7:$C$1495,0),0)))</f>
        <v>Bh</v>
      </c>
      <c r="F123" s="452">
        <f>F110*5</f>
        <v>45</v>
      </c>
      <c r="G123" s="307">
        <f ca="1">IF(ISERROR(OFFSET('HARGA SATUAN'!$I$6,MATCH(RAB!C123,'HARGA SATUAN'!$C$7:$C$1495,0),0)),0,OFFSET('HARGA SATUAN'!$I$6,MATCH(RAB!C123,'HARGA SATUAN'!$C$7:$C$1495,0),0))</f>
        <v>2500</v>
      </c>
      <c r="H123" s="308">
        <f t="shared" ca="1" si="4"/>
        <v>0</v>
      </c>
      <c r="I123" s="308">
        <f t="shared" ca="1" si="5"/>
        <v>112500</v>
      </c>
      <c r="J123" s="308">
        <f t="shared" ca="1" si="6"/>
        <v>0</v>
      </c>
      <c r="K123" s="309">
        <f t="shared" ca="1" si="7"/>
        <v>112500</v>
      </c>
      <c r="L123" s="289"/>
      <c r="M123" s="289"/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717">
        <v>14</v>
      </c>
      <c r="C124" s="718" t="s">
        <v>687</v>
      </c>
      <c r="D124" s="305" t="str">
        <f ca="1">IF(ISERROR(OFFSET('HARGA SATUAN'!$D$6,MATCH(RAB!C124,'HARGA SATUAN'!$C$7:$C$1495,0),0)),"",OFFSET('HARGA SATUAN'!$D$6,MATCH(RAB!C124,'HARGA SATUAN'!$C$7:$C$1495,0),0))</f>
        <v>JASA</v>
      </c>
      <c r="E124" s="306" t="str">
        <f ca="1">IF(B124="+","Unit",IF(ISERROR(OFFSET('HARGA SATUAN'!$E$6,MATCH(RAB!C124,'HARGA SATUAN'!$C$7:$C$1495,0),0)),"",OFFSET('HARGA SATUAN'!$E$6,MATCH(RAB!C124,'HARGA SATUAN'!$C$7:$C$1495,0),0)))</f>
        <v>Unit</v>
      </c>
      <c r="F124" s="452">
        <f>F110*1</f>
        <v>9</v>
      </c>
      <c r="G124" s="307">
        <f ca="1">IF(ISERROR(OFFSET('HARGA SATUAN'!$I$6,MATCH(RAB!C124,'HARGA SATUAN'!$C$7:$C$1495,0),0)),0,OFFSET('HARGA SATUAN'!$I$6,MATCH(RAB!C124,'HARGA SATUAN'!$C$7:$C$1495,0),0))</f>
        <v>111000</v>
      </c>
      <c r="H124" s="308">
        <f t="shared" ca="1" si="4"/>
        <v>0</v>
      </c>
      <c r="I124" s="308">
        <f t="shared" ca="1" si="5"/>
        <v>0</v>
      </c>
      <c r="J124" s="308">
        <f t="shared" ca="1" si="6"/>
        <v>999000</v>
      </c>
      <c r="K124" s="309">
        <f t="shared" ca="1" si="7"/>
        <v>999000</v>
      </c>
      <c r="L124" s="289"/>
      <c r="M124" s="289"/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724"/>
      <c r="C125" s="718"/>
      <c r="D125" s="305" t="str">
        <f ca="1">IF(ISERROR(OFFSET('HARGA SATUAN'!$D$6,MATCH(RAB!C125,'HARGA SATUAN'!$C$7:$C$1495,0),0)),"",OFFSET('HARGA SATUAN'!$D$6,MATCH(RAB!C125,'HARGA SATUAN'!$C$7:$C$1495,0),0))</f>
        <v/>
      </c>
      <c r="E125" s="306" t="str">
        <f ca="1">IF(B125="+","Unit",IF(ISERROR(OFFSET('HARGA SATUAN'!$E$6,MATCH(RAB!C125,'HARGA SATUAN'!$C$7:$C$1495,0),0)),"",OFFSET('HARGA SATUAN'!$E$6,MATCH(RAB!C125,'HARGA SATUAN'!$C$7:$C$1495,0),0)))</f>
        <v/>
      </c>
      <c r="F125" s="726"/>
      <c r="G125" s="307">
        <f ca="1">IF(ISERROR(OFFSET('HARGA SATUAN'!$I$6,MATCH(RAB!C125,'HARGA SATUAN'!$C$7:$C$1495,0),0)),0,OFFSET('HARGA SATUAN'!$I$6,MATCH(RAB!C125,'HARGA SATUAN'!$C$7:$C$1495,0),0))</f>
        <v>0</v>
      </c>
      <c r="H125" s="308">
        <f t="shared" ca="1" si="4"/>
        <v>0</v>
      </c>
      <c r="I125" s="308">
        <f t="shared" ca="1" si="5"/>
        <v>0</v>
      </c>
      <c r="J125" s="308">
        <f t="shared" ca="1" si="6"/>
        <v>0</v>
      </c>
      <c r="K125" s="309">
        <f t="shared" ca="1" si="7"/>
        <v>0</v>
      </c>
      <c r="L125" s="289"/>
      <c r="M125" s="289"/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717" t="s">
        <v>1035</v>
      </c>
      <c r="C126" s="722" t="s">
        <v>1640</v>
      </c>
      <c r="D126" s="305" t="str">
        <f ca="1">IF(ISERROR(OFFSET('HARGA SATUAN'!$D$6,MATCH(RAB!C126,'HARGA SATUAN'!$C$7:$C$1495,0),0)),"",OFFSET('HARGA SATUAN'!$D$6,MATCH(RAB!C126,'HARGA SATUAN'!$C$7:$C$1495,0),0))</f>
        <v/>
      </c>
      <c r="E126" s="306" t="str">
        <f ca="1">IF(B126="+","Unit",IF(ISERROR(OFFSET('HARGA SATUAN'!$E$6,MATCH(RAB!C126,'HARGA SATUAN'!$C$7:$C$1495,0),0)),"",OFFSET('HARGA SATUAN'!$E$6,MATCH(RAB!C126,'HARGA SATUAN'!$C$7:$C$1495,0),0)))</f>
        <v>Unit</v>
      </c>
      <c r="F126" s="723">
        <v>1</v>
      </c>
      <c r="G126" s="307">
        <f ca="1">IF(ISERROR(OFFSET('HARGA SATUAN'!$I$6,MATCH(RAB!C126,'HARGA SATUAN'!$C$7:$C$1495,0),0)),0,OFFSET('HARGA SATUAN'!$I$6,MATCH(RAB!C126,'HARGA SATUAN'!$C$7:$C$1495,0),0))</f>
        <v>0</v>
      </c>
      <c r="H126" s="308">
        <f t="shared" ca="1" si="4"/>
        <v>0</v>
      </c>
      <c r="I126" s="308">
        <f t="shared" ca="1" si="5"/>
        <v>0</v>
      </c>
      <c r="J126" s="308">
        <f t="shared" ca="1" si="6"/>
        <v>0</v>
      </c>
      <c r="K126" s="309">
        <f t="shared" ca="1" si="7"/>
        <v>0</v>
      </c>
      <c r="L126" s="289"/>
      <c r="M126" s="289"/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>
      <c r="A127" s="283"/>
      <c r="B127" s="717">
        <v>1</v>
      </c>
      <c r="C127" s="722" t="s">
        <v>1608</v>
      </c>
      <c r="D127" s="305" t="str">
        <f ca="1">IF(ISERROR(OFFSET('HARGA SATUAN'!$D$6,MATCH(RAB!C127,'HARGA SATUAN'!$C$7:$C$1495,0),0)),"",OFFSET('HARGA SATUAN'!$D$6,MATCH(RAB!C127,'HARGA SATUAN'!$C$7:$C$1495,0),0))</f>
        <v>MDU-KD</v>
      </c>
      <c r="E127" s="306" t="str">
        <f ca="1">IF(B127="+","Unit",IF(ISERROR(OFFSET('HARGA SATUAN'!$E$6,MATCH(RAB!C127,'HARGA SATUAN'!$C$7:$C$1495,0),0)),"",OFFSET('HARGA SATUAN'!$E$6,MATCH(RAB!C127,'HARGA SATUAN'!$C$7:$C$1495,0),0)))</f>
        <v>Bh</v>
      </c>
      <c r="F127" s="723">
        <f>F126*2</f>
        <v>2</v>
      </c>
      <c r="G127" s="307">
        <f ca="1">IF(ISERROR(OFFSET('HARGA SATUAN'!$I$6,MATCH(RAB!C127,'HARGA SATUAN'!$C$7:$C$1495,0),0)),0,OFFSET('HARGA SATUAN'!$I$6,MATCH(RAB!C127,'HARGA SATUAN'!$C$7:$C$1495,0),0))</f>
        <v>176900</v>
      </c>
      <c r="H127" s="308">
        <f t="shared" ca="1" si="4"/>
        <v>353800</v>
      </c>
      <c r="I127" s="308">
        <f t="shared" ca="1" si="5"/>
        <v>0</v>
      </c>
      <c r="J127" s="308">
        <f t="shared" ca="1" si="6"/>
        <v>0</v>
      </c>
      <c r="K127" s="309">
        <f t="shared" ca="1" si="7"/>
        <v>353800</v>
      </c>
      <c r="L127" s="289"/>
      <c r="M127" s="289"/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>
      <c r="A128" s="283"/>
      <c r="B128" s="717">
        <v>2</v>
      </c>
      <c r="C128" s="722" t="s">
        <v>1609</v>
      </c>
      <c r="D128" s="305" t="str">
        <f ca="1">IF(ISERROR(OFFSET('HARGA SATUAN'!$D$6,MATCH(RAB!C128,'HARGA SATUAN'!$C$7:$C$1495,0),0)),"",OFFSET('HARGA SATUAN'!$D$6,MATCH(RAB!C128,'HARGA SATUAN'!$C$7:$C$1495,0),0))</f>
        <v>MDU-KD</v>
      </c>
      <c r="E128" s="306" t="str">
        <f ca="1">IF(B128="+","Unit",IF(ISERROR(OFFSET('HARGA SATUAN'!$E$6,MATCH(RAB!C128,'HARGA SATUAN'!$C$7:$C$1495,0),0)),"",OFFSET('HARGA SATUAN'!$E$6,MATCH(RAB!C128,'HARGA SATUAN'!$C$7:$C$1495,0),0)))</f>
        <v>Bh</v>
      </c>
      <c r="F128" s="723">
        <f>F126*4</f>
        <v>4</v>
      </c>
      <c r="G128" s="307">
        <f ca="1">IF(ISERROR(OFFSET('HARGA SATUAN'!$I$6,MATCH(RAB!C128,'HARGA SATUAN'!$C$7:$C$1495,0),0)),0,OFFSET('HARGA SATUAN'!$I$6,MATCH(RAB!C128,'HARGA SATUAN'!$C$7:$C$1495,0),0))</f>
        <v>235900</v>
      </c>
      <c r="H128" s="308">
        <f t="shared" ca="1" si="4"/>
        <v>943600</v>
      </c>
      <c r="I128" s="308">
        <f t="shared" ca="1" si="5"/>
        <v>0</v>
      </c>
      <c r="J128" s="308">
        <f t="shared" ca="1" si="6"/>
        <v>0</v>
      </c>
      <c r="K128" s="309">
        <f t="shared" ca="1" si="7"/>
        <v>943600</v>
      </c>
      <c r="L128" s="289"/>
      <c r="M128" s="289"/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717">
        <v>3</v>
      </c>
      <c r="C129" s="722" t="s">
        <v>157</v>
      </c>
      <c r="D129" s="305" t="str">
        <f ca="1">IF(ISERROR(OFFSET('HARGA SATUAN'!$D$6,MATCH(RAB!C129,'HARGA SATUAN'!$C$7:$C$1495,0),0)),"",OFFSET('HARGA SATUAN'!$D$6,MATCH(RAB!C129,'HARGA SATUAN'!$C$7:$C$1495,0),0))</f>
        <v>HDW</v>
      </c>
      <c r="E129" s="306" t="str">
        <f ca="1">IF(B129="+","Unit",IF(ISERROR(OFFSET('HARGA SATUAN'!$E$6,MATCH(RAB!C129,'HARGA SATUAN'!$C$7:$C$1495,0),0)),"",OFFSET('HARGA SATUAN'!$E$6,MATCH(RAB!C129,'HARGA SATUAN'!$C$7:$C$1495,0),0)))</f>
        <v>Bh</v>
      </c>
      <c r="F129" s="723">
        <f>F126*2</f>
        <v>2</v>
      </c>
      <c r="G129" s="307">
        <f ca="1">IF(ISERROR(OFFSET('HARGA SATUAN'!$I$6,MATCH(RAB!C129,'HARGA SATUAN'!$C$7:$C$1495,0),0)),0,OFFSET('HARGA SATUAN'!$I$6,MATCH(RAB!C129,'HARGA SATUAN'!$C$7:$C$1495,0),0))</f>
        <v>40000</v>
      </c>
      <c r="H129" s="308">
        <f t="shared" ca="1" si="4"/>
        <v>0</v>
      </c>
      <c r="I129" s="308">
        <f t="shared" ca="1" si="5"/>
        <v>80000</v>
      </c>
      <c r="J129" s="308">
        <f t="shared" ca="1" si="6"/>
        <v>0</v>
      </c>
      <c r="K129" s="309">
        <f t="shared" ca="1" si="7"/>
        <v>80000</v>
      </c>
      <c r="L129" s="289"/>
      <c r="M129" s="289"/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>
      <c r="A130" s="283"/>
      <c r="B130" s="717">
        <v>4</v>
      </c>
      <c r="C130" s="722" t="s">
        <v>28</v>
      </c>
      <c r="D130" s="305" t="str">
        <f ca="1">IF(ISERROR(OFFSET('HARGA SATUAN'!$D$6,MATCH(RAB!C130,'HARGA SATUAN'!$C$7:$C$1495,0),0)),"",OFFSET('HARGA SATUAN'!$D$6,MATCH(RAB!C130,'HARGA SATUAN'!$C$7:$C$1495,0),0))</f>
        <v>HDW</v>
      </c>
      <c r="E130" s="306" t="str">
        <f ca="1">IF(B130="+","Unit",IF(ISERROR(OFFSET('HARGA SATUAN'!$E$6,MATCH(RAB!C130,'HARGA SATUAN'!$C$7:$C$1495,0),0)),"",OFFSET('HARGA SATUAN'!$E$6,MATCH(RAB!C130,'HARGA SATUAN'!$C$7:$C$1495,0),0)))</f>
        <v>Bh</v>
      </c>
      <c r="F130" s="723">
        <f>F126*4</f>
        <v>4</v>
      </c>
      <c r="G130" s="307">
        <f ca="1">IF(ISERROR(OFFSET('HARGA SATUAN'!$I$6,MATCH(RAB!C130,'HARGA SATUAN'!$C$7:$C$1495,0),0)),0,OFFSET('HARGA SATUAN'!$I$6,MATCH(RAB!C130,'HARGA SATUAN'!$C$7:$C$1495,0),0))</f>
        <v>26500</v>
      </c>
      <c r="H130" s="308">
        <f t="shared" ca="1" si="4"/>
        <v>0</v>
      </c>
      <c r="I130" s="308">
        <f t="shared" ca="1" si="5"/>
        <v>106000</v>
      </c>
      <c r="J130" s="308">
        <f t="shared" ca="1" si="6"/>
        <v>0</v>
      </c>
      <c r="K130" s="309">
        <f t="shared" ca="1" si="7"/>
        <v>106000</v>
      </c>
      <c r="L130" s="289"/>
      <c r="M130" s="289"/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>
      <c r="A131" s="283"/>
      <c r="B131" s="717">
        <v>5</v>
      </c>
      <c r="C131" s="722" t="s">
        <v>163</v>
      </c>
      <c r="D131" s="305" t="str">
        <f ca="1">IF(ISERROR(OFFSET('HARGA SATUAN'!$D$6,MATCH(RAB!C131,'HARGA SATUAN'!$C$7:$C$1495,0),0)),"",OFFSET('HARGA SATUAN'!$D$6,MATCH(RAB!C131,'HARGA SATUAN'!$C$7:$C$1495,0),0))</f>
        <v>HDW</v>
      </c>
      <c r="E131" s="306" t="str">
        <f ca="1">IF(B131="+","Unit",IF(ISERROR(OFFSET('HARGA SATUAN'!$E$6,MATCH(RAB!C131,'HARGA SATUAN'!$C$7:$C$1495,0),0)),"",OFFSET('HARGA SATUAN'!$E$6,MATCH(RAB!C131,'HARGA SATUAN'!$C$7:$C$1495,0),0)))</f>
        <v>Bh</v>
      </c>
      <c r="F131" s="723">
        <f>F126*4</f>
        <v>4</v>
      </c>
      <c r="G131" s="307">
        <f ca="1">IF(ISERROR(OFFSET('HARGA SATUAN'!$I$6,MATCH(RAB!C131,'HARGA SATUAN'!$C$7:$C$1495,0),0)),0,OFFSET('HARGA SATUAN'!$I$6,MATCH(RAB!C131,'HARGA SATUAN'!$C$7:$C$1495,0),0))</f>
        <v>7938</v>
      </c>
      <c r="H131" s="308">
        <f t="shared" ca="1" si="4"/>
        <v>0</v>
      </c>
      <c r="I131" s="308">
        <f t="shared" ca="1" si="5"/>
        <v>31752</v>
      </c>
      <c r="J131" s="308">
        <f t="shared" ca="1" si="6"/>
        <v>0</v>
      </c>
      <c r="K131" s="309">
        <f t="shared" ca="1" si="7"/>
        <v>31752</v>
      </c>
      <c r="L131" s="289"/>
      <c r="M131" s="289"/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>
      <c r="A132" s="283"/>
      <c r="B132" s="717">
        <v>6</v>
      </c>
      <c r="C132" s="722" t="s">
        <v>173</v>
      </c>
      <c r="D132" s="305" t="str">
        <f ca="1">IF(ISERROR(OFFSET('HARGA SATUAN'!$D$6,MATCH(RAB!C132,'HARGA SATUAN'!$C$7:$C$1495,0),0)),"",OFFSET('HARGA SATUAN'!$D$6,MATCH(RAB!C132,'HARGA SATUAN'!$C$7:$C$1495,0),0))</f>
        <v>HDW</v>
      </c>
      <c r="E132" s="306" t="str">
        <f ca="1">IF(B132="+","Unit",IF(ISERROR(OFFSET('HARGA SATUAN'!$E$6,MATCH(RAB!C132,'HARGA SATUAN'!$C$7:$C$1495,0),0)),"",OFFSET('HARGA SATUAN'!$E$6,MATCH(RAB!C132,'HARGA SATUAN'!$C$7:$C$1495,0),0)))</f>
        <v>Bh</v>
      </c>
      <c r="F132" s="723">
        <f>F126*4</f>
        <v>4</v>
      </c>
      <c r="G132" s="307">
        <f ca="1">IF(ISERROR(OFFSET('HARGA SATUAN'!$I$6,MATCH(RAB!C132,'HARGA SATUAN'!$C$7:$C$1495,0),0)),0,OFFSET('HARGA SATUAN'!$I$6,MATCH(RAB!C132,'HARGA SATUAN'!$C$7:$C$1495,0),0))</f>
        <v>45000</v>
      </c>
      <c r="H132" s="308">
        <f t="shared" ca="1" si="4"/>
        <v>0</v>
      </c>
      <c r="I132" s="308">
        <f t="shared" ca="1" si="5"/>
        <v>180000</v>
      </c>
      <c r="J132" s="308">
        <f t="shared" ca="1" si="6"/>
        <v>0</v>
      </c>
      <c r="K132" s="309">
        <f t="shared" ca="1" si="7"/>
        <v>180000</v>
      </c>
      <c r="L132" s="289"/>
      <c r="M132" s="289"/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>
      <c r="A133" s="283"/>
      <c r="B133" s="717">
        <v>7</v>
      </c>
      <c r="C133" s="722" t="s">
        <v>175</v>
      </c>
      <c r="D133" s="305" t="str">
        <f ca="1">IF(ISERROR(OFFSET('HARGA SATUAN'!$D$6,MATCH(RAB!C133,'HARGA SATUAN'!$C$7:$C$1495,0),0)),"",OFFSET('HARGA SATUAN'!$D$6,MATCH(RAB!C133,'HARGA SATUAN'!$C$7:$C$1495,0),0))</f>
        <v>HDW</v>
      </c>
      <c r="E133" s="306" t="str">
        <f ca="1">IF(B133="+","Unit",IF(ISERROR(OFFSET('HARGA SATUAN'!$E$6,MATCH(RAB!C133,'HARGA SATUAN'!$C$7:$C$1495,0),0)),"",OFFSET('HARGA SATUAN'!$E$6,MATCH(RAB!C133,'HARGA SATUAN'!$C$7:$C$1495,0),0)))</f>
        <v>Bh</v>
      </c>
      <c r="F133" s="723">
        <f>F126*1</f>
        <v>1</v>
      </c>
      <c r="G133" s="307">
        <f ca="1">IF(ISERROR(OFFSET('HARGA SATUAN'!$I$6,MATCH(RAB!C133,'HARGA SATUAN'!$C$7:$C$1495,0),0)),0,OFFSET('HARGA SATUAN'!$I$6,MATCH(RAB!C133,'HARGA SATUAN'!$C$7:$C$1495,0),0))</f>
        <v>13100</v>
      </c>
      <c r="H133" s="308">
        <f t="shared" ca="1" si="4"/>
        <v>0</v>
      </c>
      <c r="I133" s="308">
        <f t="shared" ca="1" si="5"/>
        <v>13100</v>
      </c>
      <c r="J133" s="308">
        <f t="shared" ca="1" si="6"/>
        <v>0</v>
      </c>
      <c r="K133" s="309">
        <f t="shared" ca="1" si="7"/>
        <v>13100</v>
      </c>
      <c r="L133" s="289"/>
      <c r="M133" s="289"/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 s="317" customFormat="1">
      <c r="A134" s="283"/>
      <c r="B134" s="717">
        <v>8</v>
      </c>
      <c r="C134" s="722" t="s">
        <v>178</v>
      </c>
      <c r="D134" s="305" t="str">
        <f ca="1">IF(ISERROR(OFFSET('HARGA SATUAN'!$D$6,MATCH(RAB!C134,'HARGA SATUAN'!$C$7:$C$1495,0),0)),"",OFFSET('HARGA SATUAN'!$D$6,MATCH(RAB!C134,'HARGA SATUAN'!$C$7:$C$1495,0),0))</f>
        <v>HDW</v>
      </c>
      <c r="E134" s="306" t="str">
        <f ca="1">IF(B134="+","Unit",IF(ISERROR(OFFSET('HARGA SATUAN'!$E$6,MATCH(RAB!C134,'HARGA SATUAN'!$C$7:$C$1495,0),0)),"",OFFSET('HARGA SATUAN'!$E$6,MATCH(RAB!C134,'HARGA SATUAN'!$C$7:$C$1495,0),0)))</f>
        <v>Bh</v>
      </c>
      <c r="F134" s="723">
        <f>F126*2</f>
        <v>2</v>
      </c>
      <c r="G134" s="307">
        <f ca="1">IF(ISERROR(OFFSET('HARGA SATUAN'!$I$6,MATCH(RAB!C134,'HARGA SATUAN'!$C$7:$C$1495,0),0)),0,OFFSET('HARGA SATUAN'!$I$6,MATCH(RAB!C134,'HARGA SATUAN'!$C$7:$C$1495,0),0))</f>
        <v>95000</v>
      </c>
      <c r="H134" s="308">
        <f t="shared" ca="1" si="4"/>
        <v>0</v>
      </c>
      <c r="I134" s="308">
        <f t="shared" ca="1" si="5"/>
        <v>190000</v>
      </c>
      <c r="J134" s="308">
        <f t="shared" ca="1" si="6"/>
        <v>0</v>
      </c>
      <c r="K134" s="309">
        <f t="shared" ca="1" si="7"/>
        <v>190000</v>
      </c>
      <c r="L134" s="289"/>
      <c r="M134" s="289"/>
      <c r="N134" s="316"/>
      <c r="O134" s="310"/>
      <c r="P134" s="310"/>
      <c r="Q134" s="291"/>
      <c r="R134" s="283"/>
      <c r="S134" s="311"/>
      <c r="T134" s="288"/>
      <c r="U134" s="288"/>
      <c r="V134" s="288"/>
    </row>
    <row r="135" spans="1:22" s="317" customFormat="1">
      <c r="A135" s="283"/>
      <c r="B135" s="717">
        <v>9</v>
      </c>
      <c r="C135" s="722" t="s">
        <v>593</v>
      </c>
      <c r="D135" s="305" t="str">
        <f ca="1">IF(ISERROR(OFFSET('HARGA SATUAN'!$D$6,MATCH(RAB!C135,'HARGA SATUAN'!$C$7:$C$1495,0),0)),"",OFFSET('HARGA SATUAN'!$D$6,MATCH(RAB!C135,'HARGA SATUAN'!$C$7:$C$1495,0),0))</f>
        <v>HDW</v>
      </c>
      <c r="E135" s="306" t="str">
        <f ca="1">IF(B135="+","Unit",IF(ISERROR(OFFSET('HARGA SATUAN'!$E$6,MATCH(RAB!C135,'HARGA SATUAN'!$C$7:$C$1495,0),0)),"",OFFSET('HARGA SATUAN'!$E$6,MATCH(RAB!C135,'HARGA SATUAN'!$C$7:$C$1495,0),0)))</f>
        <v>Bh</v>
      </c>
      <c r="F135" s="723">
        <f>F126*2</f>
        <v>2</v>
      </c>
      <c r="G135" s="307">
        <f ca="1">IF(ISERROR(OFFSET('HARGA SATUAN'!$I$6,MATCH(RAB!C135,'HARGA SATUAN'!$C$7:$C$1495,0),0)),0,OFFSET('HARGA SATUAN'!$I$6,MATCH(RAB!C135,'HARGA SATUAN'!$C$7:$C$1495,0),0))</f>
        <v>380500</v>
      </c>
      <c r="H135" s="308">
        <f t="shared" ca="1" si="4"/>
        <v>0</v>
      </c>
      <c r="I135" s="308">
        <f t="shared" ca="1" si="5"/>
        <v>761000</v>
      </c>
      <c r="J135" s="308">
        <f t="shared" ca="1" si="6"/>
        <v>0</v>
      </c>
      <c r="K135" s="309">
        <f t="shared" ca="1" si="7"/>
        <v>761000</v>
      </c>
      <c r="L135" s="289"/>
      <c r="M135" s="289"/>
      <c r="N135" s="316"/>
      <c r="O135" s="310"/>
      <c r="P135" s="310"/>
      <c r="Q135" s="291"/>
      <c r="R135" s="283"/>
      <c r="S135" s="311"/>
      <c r="T135" s="288"/>
      <c r="U135" s="288"/>
      <c r="V135" s="288"/>
    </row>
    <row r="136" spans="1:22" s="317" customFormat="1">
      <c r="A136" s="283"/>
      <c r="B136" s="717">
        <v>10</v>
      </c>
      <c r="C136" s="722" t="s">
        <v>217</v>
      </c>
      <c r="D136" s="305" t="str">
        <f ca="1">IF(ISERROR(OFFSET('HARGA SATUAN'!$D$6,MATCH(RAB!C136,'HARGA SATUAN'!$C$7:$C$1495,0),0)),"",OFFSET('HARGA SATUAN'!$D$6,MATCH(RAB!C136,'HARGA SATUAN'!$C$7:$C$1495,0),0))</f>
        <v>HDW</v>
      </c>
      <c r="E136" s="306" t="str">
        <f ca="1">IF(B136="+","Unit",IF(ISERROR(OFFSET('HARGA SATUAN'!$E$6,MATCH(RAB!C136,'HARGA SATUAN'!$C$7:$C$1495,0),0)),"",OFFSET('HARGA SATUAN'!$E$6,MATCH(RAB!C136,'HARGA SATUAN'!$C$7:$C$1495,0),0)))</f>
        <v>Bh</v>
      </c>
      <c r="F136" s="723">
        <f>F126*8</f>
        <v>8</v>
      </c>
      <c r="G136" s="307">
        <f ca="1">IF(ISERROR(OFFSET('HARGA SATUAN'!$I$6,MATCH(RAB!C136,'HARGA SATUAN'!$C$7:$C$1495,0),0)),0,OFFSET('HARGA SATUAN'!$I$6,MATCH(RAB!C136,'HARGA SATUAN'!$C$7:$C$1495,0),0))</f>
        <v>11400</v>
      </c>
      <c r="H136" s="308">
        <f t="shared" ca="1" si="4"/>
        <v>0</v>
      </c>
      <c r="I136" s="308">
        <f t="shared" ca="1" si="5"/>
        <v>91200</v>
      </c>
      <c r="J136" s="308">
        <f t="shared" ca="1" si="6"/>
        <v>0</v>
      </c>
      <c r="K136" s="309">
        <f t="shared" ca="1" si="7"/>
        <v>91200</v>
      </c>
      <c r="L136" s="289"/>
      <c r="M136" s="289"/>
      <c r="N136" s="316"/>
      <c r="O136" s="310"/>
      <c r="P136" s="310"/>
      <c r="Q136" s="291"/>
      <c r="R136" s="283"/>
      <c r="S136" s="311"/>
      <c r="T136" s="288"/>
      <c r="U136" s="288"/>
      <c r="V136" s="288"/>
    </row>
    <row r="137" spans="1:22" s="317" customFormat="1">
      <c r="A137" s="283"/>
      <c r="B137" s="717">
        <v>11</v>
      </c>
      <c r="C137" s="725" t="s">
        <v>37</v>
      </c>
      <c r="D137" s="305" t="str">
        <f ca="1">IF(ISERROR(OFFSET('HARGA SATUAN'!$D$6,MATCH(RAB!C137,'HARGA SATUAN'!$C$7:$C$1495,0),0)),"",OFFSET('HARGA SATUAN'!$D$6,MATCH(RAB!C137,'HARGA SATUAN'!$C$7:$C$1495,0),0))</f>
        <v>HDW</v>
      </c>
      <c r="E137" s="306" t="str">
        <f ca="1">IF(B137="+","Unit",IF(ISERROR(OFFSET('HARGA SATUAN'!$E$6,MATCH(RAB!C137,'HARGA SATUAN'!$C$7:$C$1495,0),0)),"",OFFSET('HARGA SATUAN'!$E$6,MATCH(RAB!C137,'HARGA SATUAN'!$C$7:$C$1495,0),0)))</f>
        <v>Bh</v>
      </c>
      <c r="F137" s="723">
        <f>F126*1</f>
        <v>1</v>
      </c>
      <c r="G137" s="307">
        <f ca="1">IF(ISERROR(OFFSET('HARGA SATUAN'!$I$6,MATCH(RAB!C137,'HARGA SATUAN'!$C$7:$C$1495,0),0)),0,OFFSET('HARGA SATUAN'!$I$6,MATCH(RAB!C137,'HARGA SATUAN'!$C$7:$C$1495,0),0))</f>
        <v>63500</v>
      </c>
      <c r="H137" s="308">
        <f t="shared" ca="1" si="4"/>
        <v>0</v>
      </c>
      <c r="I137" s="308">
        <f t="shared" ca="1" si="5"/>
        <v>63500</v>
      </c>
      <c r="J137" s="308">
        <f t="shared" ca="1" si="6"/>
        <v>0</v>
      </c>
      <c r="K137" s="309">
        <f t="shared" ca="1" si="7"/>
        <v>63500</v>
      </c>
      <c r="L137" s="289"/>
      <c r="M137" s="289"/>
      <c r="N137" s="316"/>
      <c r="O137" s="310"/>
      <c r="P137" s="310"/>
      <c r="Q137" s="291"/>
      <c r="R137" s="283"/>
      <c r="S137" s="311"/>
      <c r="T137" s="288"/>
      <c r="U137" s="288"/>
      <c r="V137" s="288"/>
    </row>
    <row r="138" spans="1:22" s="317" customFormat="1">
      <c r="A138" s="283"/>
      <c r="B138" s="717">
        <v>12</v>
      </c>
      <c r="C138" s="722" t="s">
        <v>264</v>
      </c>
      <c r="D138" s="305" t="str">
        <f ca="1">IF(ISERROR(OFFSET('HARGA SATUAN'!$D$6,MATCH(RAB!C138,'HARGA SATUAN'!$C$7:$C$1495,0),0)),"",OFFSET('HARGA SATUAN'!$D$6,MATCH(RAB!C138,'HARGA SATUAN'!$C$7:$C$1495,0),0))</f>
        <v>HDW</v>
      </c>
      <c r="E138" s="306" t="str">
        <f ca="1">IF(B138="+","Unit",IF(ISERROR(OFFSET('HARGA SATUAN'!$E$6,MATCH(RAB!C138,'HARGA SATUAN'!$C$7:$C$1495,0),0)),"",OFFSET('HARGA SATUAN'!$E$6,MATCH(RAB!C138,'HARGA SATUAN'!$C$7:$C$1495,0),0)))</f>
        <v>Bh</v>
      </c>
      <c r="F138" s="723">
        <f>F126*1</f>
        <v>1</v>
      </c>
      <c r="G138" s="307">
        <f ca="1">IF(ISERROR(OFFSET('HARGA SATUAN'!$I$6,MATCH(RAB!C138,'HARGA SATUAN'!$C$7:$C$1495,0),0)),0,OFFSET('HARGA SATUAN'!$I$6,MATCH(RAB!C138,'HARGA SATUAN'!$C$7:$C$1495,0),0))</f>
        <v>28000</v>
      </c>
      <c r="H138" s="308">
        <f t="shared" ca="1" si="4"/>
        <v>0</v>
      </c>
      <c r="I138" s="308">
        <f t="shared" ca="1" si="5"/>
        <v>28000</v>
      </c>
      <c r="J138" s="308">
        <f t="shared" ca="1" si="6"/>
        <v>0</v>
      </c>
      <c r="K138" s="309">
        <f t="shared" ca="1" si="7"/>
        <v>28000</v>
      </c>
      <c r="L138" s="289"/>
      <c r="M138" s="289"/>
      <c r="N138" s="316"/>
      <c r="O138" s="310"/>
      <c r="P138" s="310"/>
      <c r="Q138" s="291"/>
      <c r="R138" s="283"/>
      <c r="S138" s="311"/>
      <c r="T138" s="288"/>
      <c r="U138" s="288"/>
      <c r="V138" s="288"/>
    </row>
    <row r="139" spans="1:22" s="317" customFormat="1">
      <c r="A139" s="283"/>
      <c r="B139" s="717">
        <v>13</v>
      </c>
      <c r="C139" s="722" t="s">
        <v>38</v>
      </c>
      <c r="D139" s="305" t="str">
        <f ca="1">IF(ISERROR(OFFSET('HARGA SATUAN'!$D$6,MATCH(RAB!C139,'HARGA SATUAN'!$C$7:$C$1495,0),0)),"",OFFSET('HARGA SATUAN'!$D$6,MATCH(RAB!C139,'HARGA SATUAN'!$C$7:$C$1495,0),0))</f>
        <v>HDW</v>
      </c>
      <c r="E139" s="306" t="str">
        <f ca="1">IF(B139="+","Unit",IF(ISERROR(OFFSET('HARGA SATUAN'!$E$6,MATCH(RAB!C139,'HARGA SATUAN'!$C$7:$C$1495,0),0)),"",OFFSET('HARGA SATUAN'!$E$6,MATCH(RAB!C139,'HARGA SATUAN'!$C$7:$C$1495,0),0)))</f>
        <v>Mtr</v>
      </c>
      <c r="F139" s="723">
        <f>11.6*F126</f>
        <v>11.6</v>
      </c>
      <c r="G139" s="307">
        <f ca="1">IF(ISERROR(OFFSET('HARGA SATUAN'!$I$6,MATCH(RAB!C139,'HARGA SATUAN'!$C$7:$C$1495,0),0)),0,OFFSET('HARGA SATUAN'!$I$6,MATCH(RAB!C139,'HARGA SATUAN'!$C$7:$C$1495,0),0))</f>
        <v>8550</v>
      </c>
      <c r="H139" s="308">
        <f t="shared" ca="1" si="4"/>
        <v>0</v>
      </c>
      <c r="I139" s="308">
        <f t="shared" ca="1" si="5"/>
        <v>99180</v>
      </c>
      <c r="J139" s="308">
        <f t="shared" ca="1" si="6"/>
        <v>0</v>
      </c>
      <c r="K139" s="309">
        <f t="shared" ca="1" si="7"/>
        <v>99180</v>
      </c>
      <c r="L139" s="289"/>
      <c r="M139" s="289"/>
      <c r="N139" s="316"/>
      <c r="O139" s="310"/>
      <c r="P139" s="310"/>
      <c r="Q139" s="291"/>
      <c r="R139" s="283"/>
      <c r="S139" s="311"/>
      <c r="T139" s="288"/>
      <c r="U139" s="288"/>
      <c r="V139" s="288"/>
    </row>
    <row r="140" spans="1:22" s="317" customFormat="1">
      <c r="A140" s="283"/>
      <c r="B140" s="717">
        <v>14</v>
      </c>
      <c r="C140" s="722" t="s">
        <v>26</v>
      </c>
      <c r="D140" s="305" t="str">
        <f ca="1">IF(ISERROR(OFFSET('HARGA SATUAN'!$D$6,MATCH(RAB!C140,'HARGA SATUAN'!$C$7:$C$1495,0),0)),"",OFFSET('HARGA SATUAN'!$D$6,MATCH(RAB!C140,'HARGA SATUAN'!$C$7:$C$1495,0),0))</f>
        <v>HDW</v>
      </c>
      <c r="E140" s="306" t="str">
        <f ca="1">IF(B140="+","Unit",IF(ISERROR(OFFSET('HARGA SATUAN'!$E$6,MATCH(RAB!C140,'HARGA SATUAN'!$C$7:$C$1495,0),0)),"",OFFSET('HARGA SATUAN'!$E$6,MATCH(RAB!C140,'HARGA SATUAN'!$C$7:$C$1495,0),0)))</f>
        <v>Bh</v>
      </c>
      <c r="F140" s="723">
        <f>F126*13</f>
        <v>13</v>
      </c>
      <c r="G140" s="307">
        <f ca="1">IF(ISERROR(OFFSET('HARGA SATUAN'!$I$6,MATCH(RAB!C140,'HARGA SATUAN'!$C$7:$C$1495,0),0)),0,OFFSET('HARGA SATUAN'!$I$6,MATCH(RAB!C140,'HARGA SATUAN'!$C$7:$C$1495,0),0))</f>
        <v>2500</v>
      </c>
      <c r="H140" s="308">
        <f t="shared" ca="1" si="4"/>
        <v>0</v>
      </c>
      <c r="I140" s="308">
        <f t="shared" ca="1" si="5"/>
        <v>32500</v>
      </c>
      <c r="J140" s="308">
        <f t="shared" ca="1" si="6"/>
        <v>0</v>
      </c>
      <c r="K140" s="309">
        <f t="shared" ca="1" si="7"/>
        <v>32500</v>
      </c>
      <c r="L140" s="289"/>
      <c r="M140" s="289"/>
      <c r="N140" s="316"/>
      <c r="O140" s="310"/>
      <c r="P140" s="310"/>
      <c r="Q140" s="291"/>
      <c r="R140" s="283"/>
      <c r="S140" s="311"/>
      <c r="T140" s="288"/>
      <c r="U140" s="288"/>
      <c r="V140" s="288"/>
    </row>
    <row r="141" spans="1:22" s="317" customFormat="1">
      <c r="A141" s="283"/>
      <c r="B141" s="717">
        <v>15</v>
      </c>
      <c r="C141" s="718" t="s">
        <v>693</v>
      </c>
      <c r="D141" s="305" t="str">
        <f ca="1">IF(ISERROR(OFFSET('HARGA SATUAN'!$D$6,MATCH(RAB!C141,'HARGA SATUAN'!$C$7:$C$1495,0),0)),"",OFFSET('HARGA SATUAN'!$D$6,MATCH(RAB!C141,'HARGA SATUAN'!$C$7:$C$1495,0),0))</f>
        <v>JASA</v>
      </c>
      <c r="E141" s="306" t="str">
        <f ca="1">IF(B141="+","Unit",IF(ISERROR(OFFSET('HARGA SATUAN'!$E$6,MATCH(RAB!C141,'HARGA SATUAN'!$C$7:$C$1495,0),0)),"",OFFSET('HARGA SATUAN'!$E$6,MATCH(RAB!C141,'HARGA SATUAN'!$C$7:$C$1495,0),0)))</f>
        <v>Unit</v>
      </c>
      <c r="F141" s="723">
        <f>F126*1</f>
        <v>1</v>
      </c>
      <c r="G141" s="307">
        <f ca="1">IF(ISERROR(OFFSET('HARGA SATUAN'!$I$6,MATCH(RAB!C141,'HARGA SATUAN'!$C$7:$C$1495,0),0)),0,OFFSET('HARGA SATUAN'!$I$6,MATCH(RAB!C141,'HARGA SATUAN'!$C$7:$C$1495,0),0))</f>
        <v>132200</v>
      </c>
      <c r="H141" s="308">
        <f t="shared" ca="1" si="4"/>
        <v>0</v>
      </c>
      <c r="I141" s="308">
        <f t="shared" ca="1" si="5"/>
        <v>0</v>
      </c>
      <c r="J141" s="308">
        <f t="shared" ca="1" si="6"/>
        <v>132200</v>
      </c>
      <c r="K141" s="309">
        <f t="shared" ca="1" si="7"/>
        <v>132200</v>
      </c>
      <c r="L141" s="289"/>
      <c r="M141" s="289"/>
      <c r="N141" s="316"/>
      <c r="O141" s="310"/>
      <c r="P141" s="310"/>
      <c r="Q141" s="291"/>
      <c r="R141" s="283"/>
      <c r="S141" s="311"/>
      <c r="T141" s="288"/>
      <c r="U141" s="288"/>
      <c r="V141" s="288"/>
    </row>
    <row r="142" spans="1:22" s="317" customFormat="1">
      <c r="A142" s="283"/>
      <c r="B142" s="724"/>
      <c r="C142" s="718"/>
      <c r="D142" s="305" t="str">
        <f ca="1">IF(ISERROR(OFFSET('HARGA SATUAN'!$D$6,MATCH(RAB!C142,'HARGA SATUAN'!$C$7:$C$1495,0),0)),"",OFFSET('HARGA SATUAN'!$D$6,MATCH(RAB!C142,'HARGA SATUAN'!$C$7:$C$1495,0),0))</f>
        <v/>
      </c>
      <c r="E142" s="306" t="str">
        <f ca="1">IF(B142="+","Unit",IF(ISERROR(OFFSET('HARGA SATUAN'!$E$6,MATCH(RAB!C142,'HARGA SATUAN'!$C$7:$C$1495,0),0)),"",OFFSET('HARGA SATUAN'!$E$6,MATCH(RAB!C142,'HARGA SATUAN'!$C$7:$C$1495,0),0)))</f>
        <v/>
      </c>
      <c r="F142" s="726"/>
      <c r="G142" s="307">
        <f ca="1">IF(ISERROR(OFFSET('HARGA SATUAN'!$I$6,MATCH(RAB!C142,'HARGA SATUAN'!$C$7:$C$1495,0),0)),0,OFFSET('HARGA SATUAN'!$I$6,MATCH(RAB!C142,'HARGA SATUAN'!$C$7:$C$1495,0),0))</f>
        <v>0</v>
      </c>
      <c r="H142" s="308">
        <f t="shared" ca="1" si="4"/>
        <v>0</v>
      </c>
      <c r="I142" s="308">
        <f t="shared" ca="1" si="5"/>
        <v>0</v>
      </c>
      <c r="J142" s="308">
        <f t="shared" ca="1" si="6"/>
        <v>0</v>
      </c>
      <c r="K142" s="309">
        <f t="shared" ca="1" si="7"/>
        <v>0</v>
      </c>
      <c r="L142" s="289"/>
      <c r="M142" s="289"/>
      <c r="N142" s="316"/>
      <c r="O142" s="310"/>
      <c r="P142" s="310"/>
      <c r="Q142" s="291"/>
      <c r="R142" s="283"/>
      <c r="S142" s="311"/>
      <c r="T142" s="288"/>
      <c r="U142" s="288"/>
      <c r="V142" s="288"/>
    </row>
    <row r="143" spans="1:22" s="317" customFormat="1">
      <c r="A143" s="283"/>
      <c r="B143" s="717" t="s">
        <v>1035</v>
      </c>
      <c r="C143" s="718" t="s">
        <v>1641</v>
      </c>
      <c r="D143" s="305" t="str">
        <f ca="1">IF(ISERROR(OFFSET('HARGA SATUAN'!$D$6,MATCH(RAB!C143,'HARGA SATUAN'!$C$7:$C$1495,0),0)),"",OFFSET('HARGA SATUAN'!$D$6,MATCH(RAB!C143,'HARGA SATUAN'!$C$7:$C$1495,0),0))</f>
        <v/>
      </c>
      <c r="E143" s="306" t="str">
        <f ca="1">IF(B143="+","Unit",IF(ISERROR(OFFSET('HARGA SATUAN'!$E$6,MATCH(RAB!C143,'HARGA SATUAN'!$C$7:$C$1495,0),0)),"",OFFSET('HARGA SATUAN'!$E$6,MATCH(RAB!C143,'HARGA SATUAN'!$C$7:$C$1495,0),0)))</f>
        <v>Unit</v>
      </c>
      <c r="F143" s="452">
        <v>11</v>
      </c>
      <c r="G143" s="307">
        <f ca="1">IF(ISERROR(OFFSET('HARGA SATUAN'!$I$6,MATCH(RAB!C143,'HARGA SATUAN'!$C$7:$C$1495,0),0)),0,OFFSET('HARGA SATUAN'!$I$6,MATCH(RAB!C143,'HARGA SATUAN'!$C$7:$C$1495,0),0))</f>
        <v>0</v>
      </c>
      <c r="H143" s="308">
        <f t="shared" ca="1" si="4"/>
        <v>0</v>
      </c>
      <c r="I143" s="308">
        <f t="shared" ca="1" si="5"/>
        <v>0</v>
      </c>
      <c r="J143" s="308">
        <f t="shared" ca="1" si="6"/>
        <v>0</v>
      </c>
      <c r="K143" s="309">
        <f t="shared" ca="1" si="7"/>
        <v>0</v>
      </c>
      <c r="L143" s="289"/>
      <c r="M143" s="289"/>
      <c r="N143" s="316"/>
      <c r="O143" s="310"/>
      <c r="P143" s="310"/>
      <c r="Q143" s="291"/>
      <c r="R143" s="283"/>
      <c r="S143" s="311"/>
      <c r="T143" s="288"/>
      <c r="U143" s="288"/>
      <c r="V143" s="288"/>
    </row>
    <row r="144" spans="1:22" s="317" customFormat="1">
      <c r="A144" s="283"/>
      <c r="B144" s="717">
        <v>1</v>
      </c>
      <c r="C144" s="718" t="s">
        <v>593</v>
      </c>
      <c r="D144" s="305" t="str">
        <f ca="1">IF(ISERROR(OFFSET('HARGA SATUAN'!$D$6,MATCH(RAB!C144,'HARGA SATUAN'!$C$7:$C$1495,0),0)),"",OFFSET('HARGA SATUAN'!$D$6,MATCH(RAB!C144,'HARGA SATUAN'!$C$7:$C$1495,0),0))</f>
        <v>HDW</v>
      </c>
      <c r="E144" s="306" t="str">
        <f ca="1">IF(B144="+","Unit",IF(ISERROR(OFFSET('HARGA SATUAN'!$E$6,MATCH(RAB!C144,'HARGA SATUAN'!$C$7:$C$1495,0),0)),"",OFFSET('HARGA SATUAN'!$E$6,MATCH(RAB!C144,'HARGA SATUAN'!$C$7:$C$1495,0),0)))</f>
        <v>Bh</v>
      </c>
      <c r="F144" s="452">
        <f>F143*2</f>
        <v>22</v>
      </c>
      <c r="G144" s="307">
        <f ca="1">IF(ISERROR(OFFSET('HARGA SATUAN'!$I$6,MATCH(RAB!C144,'HARGA SATUAN'!$C$7:$C$1495,0),0)),0,OFFSET('HARGA SATUAN'!$I$6,MATCH(RAB!C144,'HARGA SATUAN'!$C$7:$C$1495,0),0))</f>
        <v>380500</v>
      </c>
      <c r="H144" s="308">
        <f t="shared" ca="1" si="4"/>
        <v>0</v>
      </c>
      <c r="I144" s="308">
        <f t="shared" ca="1" si="5"/>
        <v>8371000</v>
      </c>
      <c r="J144" s="308">
        <f t="shared" ca="1" si="6"/>
        <v>0</v>
      </c>
      <c r="K144" s="309">
        <f t="shared" ca="1" si="7"/>
        <v>8371000</v>
      </c>
      <c r="L144" s="289"/>
      <c r="M144" s="289"/>
      <c r="N144" s="316"/>
      <c r="O144" s="310"/>
      <c r="P144" s="310"/>
      <c r="Q144" s="291"/>
      <c r="R144" s="283"/>
      <c r="S144" s="311"/>
      <c r="T144" s="288"/>
      <c r="U144" s="288"/>
      <c r="V144" s="288"/>
    </row>
    <row r="145" spans="1:22" s="317" customFormat="1">
      <c r="A145" s="283"/>
      <c r="B145" s="717">
        <v>2</v>
      </c>
      <c r="C145" s="718" t="s">
        <v>28</v>
      </c>
      <c r="D145" s="305" t="str">
        <f ca="1">IF(ISERROR(OFFSET('HARGA SATUAN'!$D$6,MATCH(RAB!C145,'HARGA SATUAN'!$C$7:$C$1495,0),0)),"",OFFSET('HARGA SATUAN'!$D$6,MATCH(RAB!C145,'HARGA SATUAN'!$C$7:$C$1495,0),0))</f>
        <v>HDW</v>
      </c>
      <c r="E145" s="306" t="str">
        <f ca="1">IF(B145="+","Unit",IF(ISERROR(OFFSET('HARGA SATUAN'!$E$6,MATCH(RAB!C145,'HARGA SATUAN'!$C$7:$C$1495,0),0)),"",OFFSET('HARGA SATUAN'!$E$6,MATCH(RAB!C145,'HARGA SATUAN'!$C$7:$C$1495,0),0)))</f>
        <v>Bh</v>
      </c>
      <c r="F145" s="452">
        <f>F143*2</f>
        <v>22</v>
      </c>
      <c r="G145" s="307">
        <f ca="1">IF(ISERROR(OFFSET('HARGA SATUAN'!$I$6,MATCH(RAB!C145,'HARGA SATUAN'!$C$7:$C$1495,0),0)),0,OFFSET('HARGA SATUAN'!$I$6,MATCH(RAB!C145,'HARGA SATUAN'!$C$7:$C$1495,0),0))</f>
        <v>26500</v>
      </c>
      <c r="H145" s="308">
        <f t="shared" ca="1" si="4"/>
        <v>0</v>
      </c>
      <c r="I145" s="308">
        <f t="shared" ca="1" si="5"/>
        <v>583000</v>
      </c>
      <c r="J145" s="308">
        <f t="shared" ca="1" si="6"/>
        <v>0</v>
      </c>
      <c r="K145" s="309">
        <f t="shared" ca="1" si="7"/>
        <v>583000</v>
      </c>
      <c r="L145" s="289"/>
      <c r="M145" s="289"/>
      <c r="N145" s="316"/>
      <c r="O145" s="310"/>
      <c r="P145" s="310"/>
      <c r="Q145" s="291"/>
      <c r="R145" s="283"/>
      <c r="S145" s="311"/>
      <c r="T145" s="288"/>
      <c r="U145" s="288"/>
      <c r="V145" s="288"/>
    </row>
    <row r="146" spans="1:22" s="317" customFormat="1">
      <c r="A146" s="283"/>
      <c r="B146" s="717">
        <v>3</v>
      </c>
      <c r="C146" s="718" t="s">
        <v>26</v>
      </c>
      <c r="D146" s="305" t="str">
        <f ca="1">IF(ISERROR(OFFSET('HARGA SATUAN'!$D$6,MATCH(RAB!C146,'HARGA SATUAN'!$C$7:$C$1495,0),0)),"",OFFSET('HARGA SATUAN'!$D$6,MATCH(RAB!C146,'HARGA SATUAN'!$C$7:$C$1495,0),0))</f>
        <v>HDW</v>
      </c>
      <c r="E146" s="306" t="str">
        <f ca="1">IF(B146="+","Unit",IF(ISERROR(OFFSET('HARGA SATUAN'!$E$6,MATCH(RAB!C146,'HARGA SATUAN'!$C$7:$C$1495,0),0)),"",OFFSET('HARGA SATUAN'!$E$6,MATCH(RAB!C146,'HARGA SATUAN'!$C$7:$C$1495,0),0)))</f>
        <v>Bh</v>
      </c>
      <c r="F146" s="452">
        <f>F143*2</f>
        <v>22</v>
      </c>
      <c r="G146" s="307">
        <f ca="1">IF(ISERROR(OFFSET('HARGA SATUAN'!$I$6,MATCH(RAB!C146,'HARGA SATUAN'!$C$7:$C$1495,0),0)),0,OFFSET('HARGA SATUAN'!$I$6,MATCH(RAB!C146,'HARGA SATUAN'!$C$7:$C$1495,0),0))</f>
        <v>2500</v>
      </c>
      <c r="H146" s="308">
        <f t="shared" ca="1" si="4"/>
        <v>0</v>
      </c>
      <c r="I146" s="308">
        <f t="shared" ca="1" si="5"/>
        <v>55000</v>
      </c>
      <c r="J146" s="308">
        <f t="shared" ca="1" si="6"/>
        <v>0</v>
      </c>
      <c r="K146" s="309">
        <f t="shared" ca="1" si="7"/>
        <v>55000</v>
      </c>
      <c r="L146" s="289"/>
      <c r="M146" s="289"/>
      <c r="N146" s="316"/>
      <c r="O146" s="310"/>
      <c r="P146" s="310"/>
      <c r="Q146" s="291"/>
      <c r="R146" s="283"/>
      <c r="S146" s="311"/>
      <c r="T146" s="288"/>
      <c r="U146" s="288"/>
      <c r="V146" s="288"/>
    </row>
    <row r="147" spans="1:22" s="317" customFormat="1">
      <c r="A147" s="283"/>
      <c r="B147" s="717">
        <v>4</v>
      </c>
      <c r="C147" s="718" t="s">
        <v>157</v>
      </c>
      <c r="D147" s="305" t="str">
        <f ca="1">IF(ISERROR(OFFSET('HARGA SATUAN'!$D$6,MATCH(RAB!C147,'HARGA SATUAN'!$C$7:$C$1495,0),0)),"",OFFSET('HARGA SATUAN'!$D$6,MATCH(RAB!C147,'HARGA SATUAN'!$C$7:$C$1495,0),0))</f>
        <v>HDW</v>
      </c>
      <c r="E147" s="306" t="str">
        <f ca="1">IF(B147="+","Unit",IF(ISERROR(OFFSET('HARGA SATUAN'!$E$6,MATCH(RAB!C147,'HARGA SATUAN'!$C$7:$C$1495,0),0)),"",OFFSET('HARGA SATUAN'!$E$6,MATCH(RAB!C147,'HARGA SATUAN'!$C$7:$C$1495,0),0)))</f>
        <v>Bh</v>
      </c>
      <c r="F147" s="452">
        <f>F143*2</f>
        <v>22</v>
      </c>
      <c r="G147" s="307">
        <f ca="1">IF(ISERROR(OFFSET('HARGA SATUAN'!$I$6,MATCH(RAB!C147,'HARGA SATUAN'!$C$7:$C$1495,0),0)),0,OFFSET('HARGA SATUAN'!$I$6,MATCH(RAB!C147,'HARGA SATUAN'!$C$7:$C$1495,0),0))</f>
        <v>40000</v>
      </c>
      <c r="H147" s="308">
        <f t="shared" ca="1" si="4"/>
        <v>0</v>
      </c>
      <c r="I147" s="308">
        <f t="shared" ca="1" si="5"/>
        <v>880000</v>
      </c>
      <c r="J147" s="308">
        <f t="shared" ca="1" si="6"/>
        <v>0</v>
      </c>
      <c r="K147" s="309">
        <f t="shared" ca="1" si="7"/>
        <v>880000</v>
      </c>
      <c r="L147" s="289"/>
      <c r="M147" s="289"/>
      <c r="N147" s="316"/>
      <c r="O147" s="310"/>
      <c r="P147" s="310"/>
      <c r="Q147" s="291"/>
      <c r="R147" s="283"/>
      <c r="S147" s="311"/>
      <c r="T147" s="288"/>
      <c r="U147" s="288"/>
      <c r="V147" s="288"/>
    </row>
    <row r="148" spans="1:22" s="317" customFormat="1">
      <c r="A148" s="283"/>
      <c r="B148" s="717">
        <v>5</v>
      </c>
      <c r="C148" s="718" t="s">
        <v>755</v>
      </c>
      <c r="D148" s="305" t="str">
        <f ca="1">IF(ISERROR(OFFSET('HARGA SATUAN'!$D$6,MATCH(RAB!C148,'HARGA SATUAN'!$C$7:$C$1495,0),0)),"",OFFSET('HARGA SATUAN'!$D$6,MATCH(RAB!C148,'HARGA SATUAN'!$C$7:$C$1495,0),0))</f>
        <v>JASA</v>
      </c>
      <c r="E148" s="306" t="str">
        <f ca="1">IF(B148="+","Unit",IF(ISERROR(OFFSET('HARGA SATUAN'!$E$6,MATCH(RAB!C148,'HARGA SATUAN'!$C$7:$C$1495,0),0)),"",OFFSET('HARGA SATUAN'!$E$6,MATCH(RAB!C148,'HARGA SATUAN'!$C$7:$C$1495,0),0)))</f>
        <v>Unit</v>
      </c>
      <c r="F148" s="452">
        <f>F143*1</f>
        <v>11</v>
      </c>
      <c r="G148" s="307">
        <f ca="1">IF(ISERROR(OFFSET('HARGA SATUAN'!$I$6,MATCH(RAB!C148,'HARGA SATUAN'!$C$7:$C$1495,0),0)),0,OFFSET('HARGA SATUAN'!$I$6,MATCH(RAB!C148,'HARGA SATUAN'!$C$7:$C$1495,0),0))</f>
        <v>69000</v>
      </c>
      <c r="H148" s="308">
        <f t="shared" ca="1" si="4"/>
        <v>0</v>
      </c>
      <c r="I148" s="308">
        <f t="shared" ca="1" si="5"/>
        <v>0</v>
      </c>
      <c r="J148" s="308">
        <f t="shared" ca="1" si="6"/>
        <v>759000</v>
      </c>
      <c r="K148" s="309">
        <f t="shared" ca="1" si="7"/>
        <v>759000</v>
      </c>
      <c r="L148" s="289"/>
      <c r="M148" s="289"/>
      <c r="N148" s="316"/>
      <c r="O148" s="310"/>
      <c r="P148" s="310"/>
      <c r="Q148" s="291"/>
      <c r="R148" s="283"/>
      <c r="S148" s="311"/>
      <c r="T148" s="288"/>
      <c r="U148" s="288"/>
      <c r="V148" s="288"/>
    </row>
    <row r="149" spans="1:22" s="317" customFormat="1">
      <c r="A149" s="283"/>
      <c r="B149" s="724"/>
      <c r="C149" s="718"/>
      <c r="D149" s="305" t="str">
        <f ca="1">IF(ISERROR(OFFSET('HARGA SATUAN'!$D$6,MATCH(RAB!C149,'HARGA SATUAN'!$C$7:$C$1495,0),0)),"",OFFSET('HARGA SATUAN'!$D$6,MATCH(RAB!C149,'HARGA SATUAN'!$C$7:$C$1495,0),0))</f>
        <v/>
      </c>
      <c r="E149" s="306" t="str">
        <f ca="1">IF(B149="+","Unit",IF(ISERROR(OFFSET('HARGA SATUAN'!$E$6,MATCH(RAB!C149,'HARGA SATUAN'!$C$7:$C$1495,0),0)),"",OFFSET('HARGA SATUAN'!$E$6,MATCH(RAB!C149,'HARGA SATUAN'!$C$7:$C$1495,0),0)))</f>
        <v/>
      </c>
      <c r="F149" s="726"/>
      <c r="G149" s="307">
        <f ca="1">IF(ISERROR(OFFSET('HARGA SATUAN'!$I$6,MATCH(RAB!C149,'HARGA SATUAN'!$C$7:$C$1495,0),0)),0,OFFSET('HARGA SATUAN'!$I$6,MATCH(RAB!C149,'HARGA SATUAN'!$C$7:$C$1495,0),0))</f>
        <v>0</v>
      </c>
      <c r="H149" s="308">
        <f t="shared" ca="1" si="4"/>
        <v>0</v>
      </c>
      <c r="I149" s="308">
        <f t="shared" ca="1" si="5"/>
        <v>0</v>
      </c>
      <c r="J149" s="308">
        <f t="shared" ca="1" si="6"/>
        <v>0</v>
      </c>
      <c r="K149" s="309">
        <f t="shared" ca="1" si="7"/>
        <v>0</v>
      </c>
      <c r="L149" s="289"/>
      <c r="M149" s="289"/>
      <c r="N149" s="316"/>
      <c r="O149" s="310"/>
      <c r="P149" s="310"/>
      <c r="Q149" s="291"/>
      <c r="R149" s="283"/>
      <c r="S149" s="311"/>
      <c r="T149" s="288"/>
      <c r="U149" s="288"/>
      <c r="V149" s="288"/>
    </row>
    <row r="150" spans="1:22" s="317" customFormat="1">
      <c r="A150" s="283"/>
      <c r="B150" s="717" t="s">
        <v>1035</v>
      </c>
      <c r="C150" s="722" t="s">
        <v>1642</v>
      </c>
      <c r="D150" s="305" t="str">
        <f ca="1">IF(ISERROR(OFFSET('HARGA SATUAN'!$D$6,MATCH(RAB!C150,'HARGA SATUAN'!$C$7:$C$1495,0),0)),"",OFFSET('HARGA SATUAN'!$D$6,MATCH(RAB!C150,'HARGA SATUAN'!$C$7:$C$1495,0),0))</f>
        <v/>
      </c>
      <c r="E150" s="306" t="str">
        <f ca="1">IF(B150="+","Unit",IF(ISERROR(OFFSET('HARGA SATUAN'!$E$6,MATCH(RAB!C150,'HARGA SATUAN'!$C$7:$C$1495,0),0)),"",OFFSET('HARGA SATUAN'!$E$6,MATCH(RAB!C150,'HARGA SATUAN'!$C$7:$C$1495,0),0)))</f>
        <v>Unit</v>
      </c>
      <c r="F150" s="723">
        <v>1</v>
      </c>
      <c r="G150" s="307">
        <f ca="1">IF(ISERROR(OFFSET('HARGA SATUAN'!$I$6,MATCH(RAB!C150,'HARGA SATUAN'!$C$7:$C$1495,0),0)),0,OFFSET('HARGA SATUAN'!$I$6,MATCH(RAB!C150,'HARGA SATUAN'!$C$7:$C$1495,0),0))</f>
        <v>0</v>
      </c>
      <c r="H150" s="308">
        <f t="shared" ca="1" si="4"/>
        <v>0</v>
      </c>
      <c r="I150" s="308">
        <f t="shared" ca="1" si="5"/>
        <v>0</v>
      </c>
      <c r="J150" s="308">
        <f t="shared" ca="1" si="6"/>
        <v>0</v>
      </c>
      <c r="K150" s="309">
        <f t="shared" ca="1" si="7"/>
        <v>0</v>
      </c>
      <c r="L150" s="289"/>
      <c r="M150" s="289"/>
      <c r="N150" s="316"/>
      <c r="O150" s="310"/>
      <c r="P150" s="310"/>
      <c r="Q150" s="291"/>
      <c r="R150" s="283"/>
      <c r="S150" s="311"/>
      <c r="T150" s="288"/>
      <c r="U150" s="288"/>
      <c r="V150" s="288"/>
    </row>
    <row r="151" spans="1:22" s="317" customFormat="1" ht="30">
      <c r="A151" s="283"/>
      <c r="B151" s="717">
        <v>1</v>
      </c>
      <c r="C151" s="722" t="s">
        <v>1613</v>
      </c>
      <c r="D151" s="305" t="str">
        <f ca="1">IF(ISERROR(OFFSET('HARGA SATUAN'!$D$6,MATCH(RAB!C151,'HARGA SATUAN'!$C$7:$C$1495,0),0)),"",OFFSET('HARGA SATUAN'!$D$6,MATCH(RAB!C151,'HARGA SATUAN'!$C$7:$C$1495,0),0))</f>
        <v>MDU-KD</v>
      </c>
      <c r="E151" s="306" t="str">
        <f ca="1">IF(B151="+","Unit",IF(ISERROR(OFFSET('HARGA SATUAN'!$E$6,MATCH(RAB!C151,'HARGA SATUAN'!$C$7:$C$1495,0),0)),"",OFFSET('HARGA SATUAN'!$E$6,MATCH(RAB!C151,'HARGA SATUAN'!$C$7:$C$1495,0),0)))</f>
        <v>Set</v>
      </c>
      <c r="F151" s="723">
        <f>F150*1</f>
        <v>1</v>
      </c>
      <c r="G151" s="307">
        <f ca="1">IF(ISERROR(OFFSET('HARGA SATUAN'!$I$6,MATCH(RAB!C151,'HARGA SATUAN'!$C$7:$C$1495,0),0)),0,OFFSET('HARGA SATUAN'!$I$6,MATCH(RAB!C151,'HARGA SATUAN'!$C$7:$C$1495,0),0))</f>
        <v>205700</v>
      </c>
      <c r="H151" s="308">
        <f t="shared" ca="1" si="4"/>
        <v>205700</v>
      </c>
      <c r="I151" s="308">
        <f t="shared" ca="1" si="5"/>
        <v>0</v>
      </c>
      <c r="J151" s="308">
        <f t="shared" ca="1" si="6"/>
        <v>0</v>
      </c>
      <c r="K151" s="309">
        <f t="shared" ca="1" si="7"/>
        <v>205700</v>
      </c>
      <c r="L151" s="289"/>
      <c r="M151" s="289"/>
      <c r="N151" s="316"/>
      <c r="O151" s="310"/>
      <c r="P151" s="310"/>
      <c r="Q151" s="291"/>
      <c r="R151" s="283"/>
      <c r="S151" s="311"/>
      <c r="T151" s="288"/>
      <c r="U151" s="288"/>
      <c r="V151" s="288"/>
    </row>
    <row r="152" spans="1:22" s="317" customFormat="1">
      <c r="A152" s="283"/>
      <c r="B152" s="717">
        <v>2</v>
      </c>
      <c r="C152" s="722" t="s">
        <v>152</v>
      </c>
      <c r="D152" s="305" t="str">
        <f ca="1">IF(ISERROR(OFFSET('HARGA SATUAN'!$D$6,MATCH(RAB!C152,'HARGA SATUAN'!$C$7:$C$1495,0),0)),"",OFFSET('HARGA SATUAN'!$D$6,MATCH(RAB!C152,'HARGA SATUAN'!$C$7:$C$1495,0),0))</f>
        <v>HDW</v>
      </c>
      <c r="E152" s="306" t="str">
        <f ca="1">IF(B152="+","Unit",IF(ISERROR(OFFSET('HARGA SATUAN'!$E$6,MATCH(RAB!C152,'HARGA SATUAN'!$C$7:$C$1495,0),0)),"",OFFSET('HARGA SATUAN'!$E$6,MATCH(RAB!C152,'HARGA SATUAN'!$C$7:$C$1495,0),0)))</f>
        <v>Mtr</v>
      </c>
      <c r="F152" s="723">
        <f>F150*1</f>
        <v>1</v>
      </c>
      <c r="G152" s="307">
        <f ca="1">IF(ISERROR(OFFSET('HARGA SATUAN'!$I$6,MATCH(RAB!C152,'HARGA SATUAN'!$C$7:$C$1495,0),0)),0,OFFSET('HARGA SATUAN'!$I$6,MATCH(RAB!C152,'HARGA SATUAN'!$C$7:$C$1495,0),0))</f>
        <v>7789</v>
      </c>
      <c r="H152" s="308">
        <f t="shared" ca="1" si="4"/>
        <v>0</v>
      </c>
      <c r="I152" s="308">
        <f t="shared" ca="1" si="5"/>
        <v>7789</v>
      </c>
      <c r="J152" s="308">
        <f t="shared" ca="1" si="6"/>
        <v>0</v>
      </c>
      <c r="K152" s="309">
        <f t="shared" ca="1" si="7"/>
        <v>7789</v>
      </c>
      <c r="L152" s="289"/>
      <c r="M152" s="289"/>
      <c r="N152" s="316"/>
      <c r="O152" s="310"/>
      <c r="P152" s="310"/>
      <c r="Q152" s="291"/>
      <c r="R152" s="283"/>
      <c r="S152" s="311"/>
      <c r="T152" s="288"/>
      <c r="U152" s="288"/>
      <c r="V152" s="288"/>
    </row>
    <row r="153" spans="1:22" s="317" customFormat="1">
      <c r="A153" s="283"/>
      <c r="B153" s="717">
        <v>3</v>
      </c>
      <c r="C153" s="722" t="s">
        <v>179</v>
      </c>
      <c r="D153" s="305" t="str">
        <f ca="1">IF(ISERROR(OFFSET('HARGA SATUAN'!$D$6,MATCH(RAB!C153,'HARGA SATUAN'!$C$7:$C$1495,0),0)),"",OFFSET('HARGA SATUAN'!$D$6,MATCH(RAB!C153,'HARGA SATUAN'!$C$7:$C$1495,0),0))</f>
        <v>HDW</v>
      </c>
      <c r="E153" s="306" t="str">
        <f ca="1">IF(B153="+","Unit",IF(ISERROR(OFFSET('HARGA SATUAN'!$E$6,MATCH(RAB!C153,'HARGA SATUAN'!$C$7:$C$1495,0),0)),"",OFFSET('HARGA SATUAN'!$E$6,MATCH(RAB!C153,'HARGA SATUAN'!$C$7:$C$1495,0),0)))</f>
        <v>Bh</v>
      </c>
      <c r="F153" s="723">
        <f>F150*1</f>
        <v>1</v>
      </c>
      <c r="G153" s="307">
        <f ca="1">IF(ISERROR(OFFSET('HARGA SATUAN'!$I$6,MATCH(RAB!C153,'HARGA SATUAN'!$C$7:$C$1495,0),0)),0,OFFSET('HARGA SATUAN'!$I$6,MATCH(RAB!C153,'HARGA SATUAN'!$C$7:$C$1495,0),0))</f>
        <v>15500</v>
      </c>
      <c r="H153" s="308">
        <f t="shared" ca="1" si="4"/>
        <v>0</v>
      </c>
      <c r="I153" s="308">
        <f t="shared" ca="1" si="5"/>
        <v>15500</v>
      </c>
      <c r="J153" s="308">
        <f t="shared" ca="1" si="6"/>
        <v>0</v>
      </c>
      <c r="K153" s="309">
        <f t="shared" ca="1" si="7"/>
        <v>15500</v>
      </c>
      <c r="L153" s="289"/>
      <c r="M153" s="289"/>
      <c r="N153" s="316"/>
      <c r="O153" s="310"/>
      <c r="P153" s="310"/>
      <c r="Q153" s="291"/>
      <c r="R153" s="283"/>
      <c r="S153" s="311"/>
      <c r="T153" s="288"/>
      <c r="U153" s="288"/>
      <c r="V153" s="288"/>
    </row>
    <row r="154" spans="1:22" s="317" customFormat="1">
      <c r="A154" s="283"/>
      <c r="B154" s="717">
        <v>4</v>
      </c>
      <c r="C154" s="722" t="s">
        <v>217</v>
      </c>
      <c r="D154" s="305" t="str">
        <f ca="1">IF(ISERROR(OFFSET('HARGA SATUAN'!$D$6,MATCH(RAB!C154,'HARGA SATUAN'!$C$7:$C$1495,0),0)),"",OFFSET('HARGA SATUAN'!$D$6,MATCH(RAB!C154,'HARGA SATUAN'!$C$7:$C$1495,0),0))</f>
        <v>HDW</v>
      </c>
      <c r="E154" s="306" t="str">
        <f ca="1">IF(B154="+","Unit",IF(ISERROR(OFFSET('HARGA SATUAN'!$E$6,MATCH(RAB!C154,'HARGA SATUAN'!$C$7:$C$1495,0),0)),"",OFFSET('HARGA SATUAN'!$E$6,MATCH(RAB!C154,'HARGA SATUAN'!$C$7:$C$1495,0),0)))</f>
        <v>Bh</v>
      </c>
      <c r="F154" s="723">
        <f>F150*2</f>
        <v>2</v>
      </c>
      <c r="G154" s="307">
        <f ca="1">IF(ISERROR(OFFSET('HARGA SATUAN'!$I$6,MATCH(RAB!C154,'HARGA SATUAN'!$C$7:$C$1495,0),0)),0,OFFSET('HARGA SATUAN'!$I$6,MATCH(RAB!C154,'HARGA SATUAN'!$C$7:$C$1495,0),0))</f>
        <v>11400</v>
      </c>
      <c r="H154" s="308">
        <f t="shared" ca="1" si="4"/>
        <v>0</v>
      </c>
      <c r="I154" s="308">
        <f t="shared" ca="1" si="5"/>
        <v>22800</v>
      </c>
      <c r="J154" s="308">
        <f t="shared" ca="1" si="6"/>
        <v>0</v>
      </c>
      <c r="K154" s="309">
        <f t="shared" ca="1" si="7"/>
        <v>22800</v>
      </c>
      <c r="L154" s="289"/>
      <c r="M154" s="289"/>
      <c r="N154" s="316"/>
      <c r="O154" s="310"/>
      <c r="P154" s="310"/>
      <c r="Q154" s="291"/>
      <c r="R154" s="283"/>
      <c r="S154" s="311"/>
      <c r="T154" s="288"/>
      <c r="U154" s="288"/>
      <c r="V154" s="288"/>
    </row>
    <row r="155" spans="1:22" s="317" customFormat="1">
      <c r="A155" s="283"/>
      <c r="B155" s="717">
        <v>5</v>
      </c>
      <c r="C155" s="722" t="s">
        <v>218</v>
      </c>
      <c r="D155" s="305" t="str">
        <f ca="1">IF(ISERROR(OFFSET('HARGA SATUAN'!$D$6,MATCH(RAB!C155,'HARGA SATUAN'!$C$7:$C$1495,0),0)),"",OFFSET('HARGA SATUAN'!$D$6,MATCH(RAB!C155,'HARGA SATUAN'!$C$7:$C$1495,0),0))</f>
        <v>HDW</v>
      </c>
      <c r="E155" s="306" t="str">
        <f ca="1">IF(B155="+","Unit",IF(ISERROR(OFFSET('HARGA SATUAN'!$E$6,MATCH(RAB!C155,'HARGA SATUAN'!$C$7:$C$1495,0),0)),"",OFFSET('HARGA SATUAN'!$E$6,MATCH(RAB!C155,'HARGA SATUAN'!$C$7:$C$1495,0),0)))</f>
        <v>Bh</v>
      </c>
      <c r="F155" s="723">
        <f>F150*2</f>
        <v>2</v>
      </c>
      <c r="G155" s="307">
        <f ca="1">IF(ISERROR(OFFSET('HARGA SATUAN'!$I$6,MATCH(RAB!C155,'HARGA SATUAN'!$C$7:$C$1495,0),0)),0,OFFSET('HARGA SATUAN'!$I$6,MATCH(RAB!C155,'HARGA SATUAN'!$C$7:$C$1495,0),0))</f>
        <v>29600</v>
      </c>
      <c r="H155" s="308">
        <f t="shared" ca="1" si="4"/>
        <v>0</v>
      </c>
      <c r="I155" s="308">
        <f t="shared" ca="1" si="5"/>
        <v>59200</v>
      </c>
      <c r="J155" s="308">
        <f t="shared" ca="1" si="6"/>
        <v>0</v>
      </c>
      <c r="K155" s="309">
        <f t="shared" ca="1" si="7"/>
        <v>59200</v>
      </c>
      <c r="L155" s="289"/>
      <c r="M155" s="289"/>
      <c r="N155" s="316"/>
      <c r="O155" s="310"/>
      <c r="P155" s="310"/>
      <c r="Q155" s="291"/>
      <c r="R155" s="283"/>
      <c r="S155" s="311"/>
      <c r="T155" s="288"/>
      <c r="U155" s="288"/>
      <c r="V155" s="288"/>
    </row>
    <row r="156" spans="1:22" s="317" customFormat="1">
      <c r="A156" s="283"/>
      <c r="B156" s="717">
        <v>6</v>
      </c>
      <c r="C156" s="722" t="s">
        <v>223</v>
      </c>
      <c r="D156" s="305" t="str">
        <f ca="1">IF(ISERROR(OFFSET('HARGA SATUAN'!$D$6,MATCH(RAB!C156,'HARGA SATUAN'!$C$7:$C$1495,0),0)),"",OFFSET('HARGA SATUAN'!$D$6,MATCH(RAB!C156,'HARGA SATUAN'!$C$7:$C$1495,0),0))</f>
        <v>HDW</v>
      </c>
      <c r="E156" s="306" t="str">
        <f ca="1">IF(B156="+","Unit",IF(ISERROR(OFFSET('HARGA SATUAN'!$E$6,MATCH(RAB!C156,'HARGA SATUAN'!$C$7:$C$1495,0),0)),"",OFFSET('HARGA SATUAN'!$E$6,MATCH(RAB!C156,'HARGA SATUAN'!$C$7:$C$1495,0),0)))</f>
        <v>Bh</v>
      </c>
      <c r="F156" s="723">
        <f>F150*2</f>
        <v>2</v>
      </c>
      <c r="G156" s="307">
        <f ca="1">IF(ISERROR(OFFSET('HARGA SATUAN'!$I$6,MATCH(RAB!C156,'HARGA SATUAN'!$C$7:$C$1495,0),0)),0,OFFSET('HARGA SATUAN'!$I$6,MATCH(RAB!C156,'HARGA SATUAN'!$C$7:$C$1495,0),0))</f>
        <v>27815</v>
      </c>
      <c r="H156" s="308">
        <f t="shared" ca="1" si="4"/>
        <v>0</v>
      </c>
      <c r="I156" s="308">
        <f t="shared" ca="1" si="5"/>
        <v>55630</v>
      </c>
      <c r="J156" s="308">
        <f t="shared" ca="1" si="6"/>
        <v>0</v>
      </c>
      <c r="K156" s="309">
        <f t="shared" ca="1" si="7"/>
        <v>55630</v>
      </c>
      <c r="L156" s="289"/>
      <c r="M156" s="289"/>
      <c r="N156" s="316"/>
      <c r="O156" s="310"/>
      <c r="P156" s="310"/>
      <c r="Q156" s="291"/>
      <c r="R156" s="283"/>
      <c r="S156" s="311"/>
      <c r="T156" s="288"/>
      <c r="U156" s="288"/>
      <c r="V156" s="288"/>
    </row>
    <row r="157" spans="1:22" s="317" customFormat="1">
      <c r="A157" s="283"/>
      <c r="B157" s="717">
        <v>7</v>
      </c>
      <c r="C157" s="722" t="s">
        <v>27</v>
      </c>
      <c r="D157" s="305" t="str">
        <f ca="1">IF(ISERROR(OFFSET('HARGA SATUAN'!$D$6,MATCH(RAB!C157,'HARGA SATUAN'!$C$7:$C$1495,0),0)),"",OFFSET('HARGA SATUAN'!$D$6,MATCH(RAB!C157,'HARGA SATUAN'!$C$7:$C$1495,0),0))</f>
        <v>HDW</v>
      </c>
      <c r="E157" s="306" t="str">
        <f ca="1">IF(B157="+","Unit",IF(ISERROR(OFFSET('HARGA SATUAN'!$E$6,MATCH(RAB!C157,'HARGA SATUAN'!$C$7:$C$1495,0),0)),"",OFFSET('HARGA SATUAN'!$E$6,MATCH(RAB!C157,'HARGA SATUAN'!$C$7:$C$1495,0),0)))</f>
        <v>Bh</v>
      </c>
      <c r="F157" s="723">
        <f>F150*1</f>
        <v>1</v>
      </c>
      <c r="G157" s="307">
        <f ca="1">IF(ISERROR(OFFSET('HARGA SATUAN'!$I$6,MATCH(RAB!C157,'HARGA SATUAN'!$C$7:$C$1495,0),0)),0,OFFSET('HARGA SATUAN'!$I$6,MATCH(RAB!C157,'HARGA SATUAN'!$C$7:$C$1495,0),0))</f>
        <v>16000</v>
      </c>
      <c r="H157" s="308">
        <f t="shared" ca="1" si="4"/>
        <v>0</v>
      </c>
      <c r="I157" s="308">
        <f t="shared" ca="1" si="5"/>
        <v>16000</v>
      </c>
      <c r="J157" s="308">
        <f t="shared" ca="1" si="6"/>
        <v>0</v>
      </c>
      <c r="K157" s="309">
        <f t="shared" ca="1" si="7"/>
        <v>16000</v>
      </c>
      <c r="L157" s="289"/>
      <c r="M157" s="289"/>
      <c r="N157" s="316"/>
      <c r="O157" s="310"/>
      <c r="P157" s="310"/>
      <c r="Q157" s="291"/>
      <c r="R157" s="283"/>
      <c r="S157" s="311"/>
      <c r="T157" s="288"/>
      <c r="U157" s="288"/>
      <c r="V157" s="288"/>
    </row>
    <row r="158" spans="1:22" s="317" customFormat="1">
      <c r="A158" s="283"/>
      <c r="B158" s="717">
        <v>8</v>
      </c>
      <c r="C158" s="722" t="s">
        <v>265</v>
      </c>
      <c r="D158" s="305" t="str">
        <f ca="1">IF(ISERROR(OFFSET('HARGA SATUAN'!$D$6,MATCH(RAB!C158,'HARGA SATUAN'!$C$7:$C$1495,0),0)),"",OFFSET('HARGA SATUAN'!$D$6,MATCH(RAB!C158,'HARGA SATUAN'!$C$7:$C$1495,0),0))</f>
        <v>HDW</v>
      </c>
      <c r="E158" s="306" t="str">
        <f ca="1">IF(B158="+","Unit",IF(ISERROR(OFFSET('HARGA SATUAN'!$E$6,MATCH(RAB!C158,'HARGA SATUAN'!$C$7:$C$1495,0),0)),"",OFFSET('HARGA SATUAN'!$E$6,MATCH(RAB!C158,'HARGA SATUAN'!$C$7:$C$1495,0),0)))</f>
        <v>Bh</v>
      </c>
      <c r="F158" s="723">
        <f>F150*1</f>
        <v>1</v>
      </c>
      <c r="G158" s="307">
        <f ca="1">IF(ISERROR(OFFSET('HARGA SATUAN'!$I$6,MATCH(RAB!C158,'HARGA SATUAN'!$C$7:$C$1495,0),0)),0,OFFSET('HARGA SATUAN'!$I$6,MATCH(RAB!C158,'HARGA SATUAN'!$C$7:$C$1495,0),0))</f>
        <v>33501.866666666669</v>
      </c>
      <c r="H158" s="308">
        <f t="shared" ca="1" si="4"/>
        <v>0</v>
      </c>
      <c r="I158" s="308">
        <f t="shared" ca="1" si="5"/>
        <v>33501.866666666669</v>
      </c>
      <c r="J158" s="308">
        <f t="shared" ca="1" si="6"/>
        <v>0</v>
      </c>
      <c r="K158" s="309">
        <f t="shared" ca="1" si="7"/>
        <v>33501.866666666669</v>
      </c>
      <c r="L158" s="289"/>
      <c r="M158" s="289"/>
      <c r="N158" s="316"/>
      <c r="O158" s="310"/>
      <c r="P158" s="310"/>
      <c r="Q158" s="291"/>
      <c r="R158" s="283"/>
      <c r="S158" s="311"/>
      <c r="T158" s="288"/>
      <c r="U158" s="288"/>
      <c r="V158" s="288"/>
    </row>
    <row r="159" spans="1:22" s="317" customFormat="1">
      <c r="A159" s="283"/>
      <c r="B159" s="717">
        <v>9</v>
      </c>
      <c r="C159" s="722" t="s">
        <v>26</v>
      </c>
      <c r="D159" s="305" t="str">
        <f ca="1">IF(ISERROR(OFFSET('HARGA SATUAN'!$D$6,MATCH(RAB!C159,'HARGA SATUAN'!$C$7:$C$1495,0),0)),"",OFFSET('HARGA SATUAN'!$D$6,MATCH(RAB!C159,'HARGA SATUAN'!$C$7:$C$1495,0),0))</f>
        <v>HDW</v>
      </c>
      <c r="E159" s="306" t="str">
        <f ca="1">IF(B159="+","Unit",IF(ISERROR(OFFSET('HARGA SATUAN'!$E$6,MATCH(RAB!C159,'HARGA SATUAN'!$C$7:$C$1495,0),0)),"",OFFSET('HARGA SATUAN'!$E$6,MATCH(RAB!C159,'HARGA SATUAN'!$C$7:$C$1495,0),0)))</f>
        <v>Bh</v>
      </c>
      <c r="F159" s="723">
        <f>F150*2</f>
        <v>2</v>
      </c>
      <c r="G159" s="307">
        <f ca="1">IF(ISERROR(OFFSET('HARGA SATUAN'!$I$6,MATCH(RAB!C159,'HARGA SATUAN'!$C$7:$C$1495,0),0)),0,OFFSET('HARGA SATUAN'!$I$6,MATCH(RAB!C159,'HARGA SATUAN'!$C$7:$C$1495,0),0))</f>
        <v>2500</v>
      </c>
      <c r="H159" s="308">
        <f t="shared" ca="1" si="4"/>
        <v>0</v>
      </c>
      <c r="I159" s="308">
        <f t="shared" ca="1" si="5"/>
        <v>5000</v>
      </c>
      <c r="J159" s="308">
        <f t="shared" ca="1" si="6"/>
        <v>0</v>
      </c>
      <c r="K159" s="309">
        <f t="shared" ca="1" si="7"/>
        <v>5000</v>
      </c>
      <c r="L159" s="289"/>
      <c r="M159" s="289"/>
      <c r="N159" s="316"/>
      <c r="O159" s="310"/>
      <c r="P159" s="310"/>
      <c r="Q159" s="291"/>
      <c r="R159" s="283"/>
      <c r="S159" s="311"/>
      <c r="T159" s="288"/>
      <c r="U159" s="288"/>
      <c r="V159" s="288"/>
    </row>
    <row r="160" spans="1:22" s="317" customFormat="1">
      <c r="A160" s="283"/>
      <c r="B160" s="717">
        <v>10</v>
      </c>
      <c r="C160" s="722" t="s">
        <v>655</v>
      </c>
      <c r="D160" s="305" t="str">
        <f ca="1">IF(ISERROR(OFFSET('HARGA SATUAN'!$D$6,MATCH(RAB!C160,'HARGA SATUAN'!$C$7:$C$1495,0),0)),"",OFFSET('HARGA SATUAN'!$D$6,MATCH(RAB!C160,'HARGA SATUAN'!$C$7:$C$1495,0),0))</f>
        <v>JASA</v>
      </c>
      <c r="E160" s="306" t="str">
        <f ca="1">IF(B160="+","Unit",IF(ISERROR(OFFSET('HARGA SATUAN'!$E$6,MATCH(RAB!C160,'HARGA SATUAN'!$C$7:$C$1495,0),0)),"",OFFSET('HARGA SATUAN'!$E$6,MATCH(RAB!C160,'HARGA SATUAN'!$C$7:$C$1495,0),0)))</f>
        <v>Unit</v>
      </c>
      <c r="F160" s="723">
        <f>F150*1</f>
        <v>1</v>
      </c>
      <c r="G160" s="307">
        <f ca="1">IF(ISERROR(OFFSET('HARGA SATUAN'!$I$6,MATCH(RAB!C160,'HARGA SATUAN'!$C$7:$C$1495,0),0)),0,OFFSET('HARGA SATUAN'!$I$6,MATCH(RAB!C160,'HARGA SATUAN'!$C$7:$C$1495,0),0))</f>
        <v>50100</v>
      </c>
      <c r="H160" s="308">
        <f t="shared" ca="1" si="4"/>
        <v>0</v>
      </c>
      <c r="I160" s="308">
        <f t="shared" ca="1" si="5"/>
        <v>0</v>
      </c>
      <c r="J160" s="308">
        <f t="shared" ca="1" si="6"/>
        <v>50100</v>
      </c>
      <c r="K160" s="309">
        <f t="shared" ca="1" si="7"/>
        <v>50100</v>
      </c>
      <c r="L160" s="289"/>
      <c r="M160" s="289"/>
      <c r="N160" s="316"/>
      <c r="O160" s="310"/>
      <c r="P160" s="310"/>
      <c r="Q160" s="291"/>
      <c r="R160" s="283"/>
      <c r="S160" s="311"/>
      <c r="T160" s="288"/>
      <c r="U160" s="288"/>
      <c r="V160" s="288"/>
    </row>
    <row r="161" spans="1:22" s="317" customFormat="1">
      <c r="A161" s="283"/>
      <c r="B161" s="717"/>
      <c r="C161" s="722"/>
      <c r="D161" s="305" t="str">
        <f ca="1">IF(ISERROR(OFFSET('HARGA SATUAN'!$D$6,MATCH(RAB!C161,'HARGA SATUAN'!$C$7:$C$1495,0),0)),"",OFFSET('HARGA SATUAN'!$D$6,MATCH(RAB!C161,'HARGA SATUAN'!$C$7:$C$1495,0),0))</f>
        <v/>
      </c>
      <c r="E161" s="306" t="str">
        <f ca="1">IF(B161="+","Unit",IF(ISERROR(OFFSET('HARGA SATUAN'!$E$6,MATCH(RAB!C161,'HARGA SATUAN'!$C$7:$C$1495,0),0)),"",OFFSET('HARGA SATUAN'!$E$6,MATCH(RAB!C161,'HARGA SATUAN'!$C$7:$C$1495,0),0)))</f>
        <v/>
      </c>
      <c r="F161" s="723"/>
      <c r="G161" s="307">
        <f ca="1">IF(ISERROR(OFFSET('HARGA SATUAN'!$I$6,MATCH(RAB!C161,'HARGA SATUAN'!$C$7:$C$1495,0),0)),0,OFFSET('HARGA SATUAN'!$I$6,MATCH(RAB!C161,'HARGA SATUAN'!$C$7:$C$1495,0),0))</f>
        <v>0</v>
      </c>
      <c r="H161" s="308">
        <f t="shared" ca="1" si="4"/>
        <v>0</v>
      </c>
      <c r="I161" s="308">
        <f t="shared" ca="1" si="5"/>
        <v>0</v>
      </c>
      <c r="J161" s="308">
        <f t="shared" ca="1" si="6"/>
        <v>0</v>
      </c>
      <c r="K161" s="309">
        <f t="shared" ca="1" si="7"/>
        <v>0</v>
      </c>
      <c r="L161" s="289"/>
      <c r="M161" s="289"/>
      <c r="N161" s="316"/>
      <c r="O161" s="310"/>
      <c r="P161" s="310"/>
      <c r="Q161" s="291"/>
      <c r="R161" s="283"/>
      <c r="S161" s="311"/>
      <c r="T161" s="288"/>
      <c r="U161" s="288"/>
      <c r="V161" s="288"/>
    </row>
    <row r="162" spans="1:22" s="317" customFormat="1">
      <c r="A162" s="283"/>
      <c r="B162" s="717" t="s">
        <v>1035</v>
      </c>
      <c r="C162" s="718" t="s">
        <v>1643</v>
      </c>
      <c r="D162" s="305" t="str">
        <f ca="1">IF(ISERROR(OFFSET('HARGA SATUAN'!$D$6,MATCH(RAB!C162,'HARGA SATUAN'!$C$7:$C$1495,0),0)),"",OFFSET('HARGA SATUAN'!$D$6,MATCH(RAB!C162,'HARGA SATUAN'!$C$7:$C$1495,0),0))</f>
        <v/>
      </c>
      <c r="E162" s="306" t="str">
        <f ca="1">IF(B162="+","Unit",IF(ISERROR(OFFSET('HARGA SATUAN'!$E$6,MATCH(RAB!C162,'HARGA SATUAN'!$C$7:$C$1495,0),0)),"",OFFSET('HARGA SATUAN'!$E$6,MATCH(RAB!C162,'HARGA SATUAN'!$C$7:$C$1495,0),0)))</f>
        <v>Unit</v>
      </c>
      <c r="F162" s="452">
        <v>2</v>
      </c>
      <c r="G162" s="307">
        <f ca="1">IF(ISERROR(OFFSET('HARGA SATUAN'!$I$6,MATCH(RAB!C162,'HARGA SATUAN'!$C$7:$C$1495,0),0)),0,OFFSET('HARGA SATUAN'!$I$6,MATCH(RAB!C162,'HARGA SATUAN'!$C$7:$C$1495,0),0))</f>
        <v>0</v>
      </c>
      <c r="H162" s="308">
        <f t="shared" ca="1" si="4"/>
        <v>0</v>
      </c>
      <c r="I162" s="308">
        <f t="shared" ca="1" si="5"/>
        <v>0</v>
      </c>
      <c r="J162" s="308">
        <f t="shared" ca="1" si="6"/>
        <v>0</v>
      </c>
      <c r="K162" s="309">
        <f t="shared" ca="1" si="7"/>
        <v>0</v>
      </c>
      <c r="L162" s="289"/>
      <c r="M162" s="289"/>
      <c r="N162" s="316"/>
      <c r="O162" s="310"/>
      <c r="P162" s="310"/>
      <c r="Q162" s="291"/>
      <c r="R162" s="283"/>
      <c r="S162" s="311"/>
      <c r="T162" s="288"/>
      <c r="U162" s="288"/>
      <c r="V162" s="288"/>
    </row>
    <row r="163" spans="1:22" s="317" customFormat="1">
      <c r="A163" s="283"/>
      <c r="B163" s="717">
        <v>1</v>
      </c>
      <c r="C163" s="718" t="s">
        <v>30</v>
      </c>
      <c r="D163" s="305" t="str">
        <f ca="1">IF(ISERROR(OFFSET('HARGA SATUAN'!$D$6,MATCH(RAB!C163,'HARGA SATUAN'!$C$7:$C$1495,0),0)),"",OFFSET('HARGA SATUAN'!$D$6,MATCH(RAB!C163,'HARGA SATUAN'!$C$7:$C$1495,0),0))</f>
        <v>HDW</v>
      </c>
      <c r="E163" s="306" t="str">
        <f ca="1">IF(B163="+","Unit",IF(ISERROR(OFFSET('HARGA SATUAN'!$E$6,MATCH(RAB!C163,'HARGA SATUAN'!$C$7:$C$1495,0),0)),"",OFFSET('HARGA SATUAN'!$E$6,MATCH(RAB!C163,'HARGA SATUAN'!$C$7:$C$1495,0),0)))</f>
        <v>Bh</v>
      </c>
      <c r="F163" s="452">
        <f>F162*1</f>
        <v>2</v>
      </c>
      <c r="G163" s="307">
        <f ca="1">IF(ISERROR(OFFSET('HARGA SATUAN'!$I$6,MATCH(RAB!C163,'HARGA SATUAN'!$C$7:$C$1495,0),0)),0,OFFSET('HARGA SATUAN'!$I$6,MATCH(RAB!C163,'HARGA SATUAN'!$C$7:$C$1495,0),0))</f>
        <v>47459</v>
      </c>
      <c r="H163" s="308">
        <f t="shared" ca="1" si="4"/>
        <v>0</v>
      </c>
      <c r="I163" s="308">
        <f t="shared" ca="1" si="5"/>
        <v>94918</v>
      </c>
      <c r="J163" s="308">
        <f t="shared" ca="1" si="6"/>
        <v>0</v>
      </c>
      <c r="K163" s="309">
        <f t="shared" ca="1" si="7"/>
        <v>94918</v>
      </c>
      <c r="L163" s="289"/>
      <c r="M163" s="289"/>
      <c r="N163" s="316"/>
      <c r="O163" s="310"/>
      <c r="P163" s="310"/>
      <c r="Q163" s="291"/>
      <c r="R163" s="283"/>
      <c r="S163" s="311"/>
      <c r="T163" s="288"/>
      <c r="U163" s="288"/>
      <c r="V163" s="288"/>
    </row>
    <row r="164" spans="1:22" s="317" customFormat="1">
      <c r="A164" s="283"/>
      <c r="B164" s="717">
        <v>2</v>
      </c>
      <c r="C164" s="718" t="s">
        <v>32</v>
      </c>
      <c r="D164" s="305" t="str">
        <f ca="1">IF(ISERROR(OFFSET('HARGA SATUAN'!$D$6,MATCH(RAB!C164,'HARGA SATUAN'!$C$7:$C$1495,0),0)),"",OFFSET('HARGA SATUAN'!$D$6,MATCH(RAB!C164,'HARGA SATUAN'!$C$7:$C$1495,0),0))</f>
        <v>HDW</v>
      </c>
      <c r="E164" s="306" t="str">
        <f ca="1">IF(B164="+","Unit",IF(ISERROR(OFFSET('HARGA SATUAN'!$E$6,MATCH(RAB!C164,'HARGA SATUAN'!$C$7:$C$1495,0),0)),"",OFFSET('HARGA SATUAN'!$E$6,MATCH(RAB!C164,'HARGA SATUAN'!$C$7:$C$1495,0),0)))</f>
        <v>Mtr</v>
      </c>
      <c r="F164" s="452">
        <f>F162*0.8</f>
        <v>1.6</v>
      </c>
      <c r="G164" s="307">
        <f ca="1">IF(ISERROR(OFFSET('HARGA SATUAN'!$I$6,MATCH(RAB!C164,'HARGA SATUAN'!$C$7:$C$1495,0),0)),0,OFFSET('HARGA SATUAN'!$I$6,MATCH(RAB!C164,'HARGA SATUAN'!$C$7:$C$1495,0),0))</f>
        <v>30000</v>
      </c>
      <c r="H164" s="308">
        <f t="shared" ca="1" si="4"/>
        <v>0</v>
      </c>
      <c r="I164" s="308">
        <f t="shared" ca="1" si="5"/>
        <v>48000</v>
      </c>
      <c r="J164" s="308">
        <f t="shared" ca="1" si="6"/>
        <v>0</v>
      </c>
      <c r="K164" s="309">
        <f t="shared" ca="1" si="7"/>
        <v>48000</v>
      </c>
      <c r="L164" s="289"/>
      <c r="M164" s="289"/>
      <c r="N164" s="316"/>
      <c r="O164" s="310"/>
      <c r="P164" s="310"/>
      <c r="Q164" s="291"/>
      <c r="R164" s="283"/>
      <c r="S164" s="311"/>
      <c r="T164" s="288"/>
      <c r="U164" s="288"/>
      <c r="V164" s="288"/>
    </row>
    <row r="165" spans="1:22" s="317" customFormat="1">
      <c r="A165" s="283"/>
      <c r="B165" s="717">
        <v>3</v>
      </c>
      <c r="C165" s="718" t="s">
        <v>33</v>
      </c>
      <c r="D165" s="305" t="str">
        <f ca="1">IF(ISERROR(OFFSET('HARGA SATUAN'!$D$6,MATCH(RAB!C165,'HARGA SATUAN'!$C$7:$C$1495,0),0)),"",OFFSET('HARGA SATUAN'!$D$6,MATCH(RAB!C165,'HARGA SATUAN'!$C$7:$C$1495,0),0))</f>
        <v>HDW</v>
      </c>
      <c r="E165" s="306" t="str">
        <f ca="1">IF(B165="+","Unit",IF(ISERROR(OFFSET('HARGA SATUAN'!$E$6,MATCH(RAB!C165,'HARGA SATUAN'!$C$7:$C$1495,0),0)),"",OFFSET('HARGA SATUAN'!$E$6,MATCH(RAB!C165,'HARGA SATUAN'!$C$7:$C$1495,0),0)))</f>
        <v>Bh</v>
      </c>
      <c r="F165" s="452">
        <f>F162*1</f>
        <v>2</v>
      </c>
      <c r="G165" s="307">
        <f ca="1">IF(ISERROR(OFFSET('HARGA SATUAN'!$I$6,MATCH(RAB!C165,'HARGA SATUAN'!$C$7:$C$1495,0),0)),0,OFFSET('HARGA SATUAN'!$I$6,MATCH(RAB!C165,'HARGA SATUAN'!$C$7:$C$1495,0),0))</f>
        <v>9500</v>
      </c>
      <c r="H165" s="308">
        <f t="shared" ca="1" si="4"/>
        <v>0</v>
      </c>
      <c r="I165" s="308">
        <f t="shared" ca="1" si="5"/>
        <v>19000</v>
      </c>
      <c r="J165" s="308">
        <f t="shared" ca="1" si="6"/>
        <v>0</v>
      </c>
      <c r="K165" s="309">
        <f t="shared" ca="1" si="7"/>
        <v>19000</v>
      </c>
      <c r="L165" s="289"/>
      <c r="M165" s="289"/>
      <c r="N165" s="316"/>
      <c r="O165" s="310"/>
      <c r="P165" s="310"/>
      <c r="Q165" s="291"/>
      <c r="R165" s="283"/>
      <c r="S165" s="311"/>
      <c r="T165" s="288"/>
      <c r="U165" s="288"/>
      <c r="V165" s="288"/>
    </row>
    <row r="166" spans="1:22" s="317" customFormat="1">
      <c r="A166" s="283"/>
      <c r="B166" s="717">
        <v>4</v>
      </c>
      <c r="C166" s="718" t="s">
        <v>737</v>
      </c>
      <c r="D166" s="305" t="str">
        <f ca="1">IF(ISERROR(OFFSET('HARGA SATUAN'!$D$6,MATCH(RAB!C166,'HARGA SATUAN'!$C$7:$C$1495,0),0)),"",OFFSET('HARGA SATUAN'!$D$6,MATCH(RAB!C166,'HARGA SATUAN'!$C$7:$C$1495,0),0))</f>
        <v>JASA</v>
      </c>
      <c r="E166" s="306" t="str">
        <f ca="1">IF(B166="+","Unit",IF(ISERROR(OFFSET('HARGA SATUAN'!$E$6,MATCH(RAB!C166,'HARGA SATUAN'!$C$7:$C$1495,0),0)),"",OFFSET('HARGA SATUAN'!$E$6,MATCH(RAB!C166,'HARGA SATUAN'!$C$7:$C$1495,0),0)))</f>
        <v>Unit</v>
      </c>
      <c r="F166" s="452">
        <f>F162*1</f>
        <v>2</v>
      </c>
      <c r="G166" s="307">
        <f ca="1">IF(ISERROR(OFFSET('HARGA SATUAN'!$I$6,MATCH(RAB!C166,'HARGA SATUAN'!$C$7:$C$1495,0),0)),0,OFFSET('HARGA SATUAN'!$I$6,MATCH(RAB!C166,'HARGA SATUAN'!$C$7:$C$1495,0),0))</f>
        <v>16200</v>
      </c>
      <c r="H166" s="308">
        <f t="shared" ca="1" si="4"/>
        <v>0</v>
      </c>
      <c r="I166" s="308">
        <f t="shared" ca="1" si="5"/>
        <v>0</v>
      </c>
      <c r="J166" s="308">
        <f t="shared" ca="1" si="6"/>
        <v>32400</v>
      </c>
      <c r="K166" s="309">
        <f t="shared" ca="1" si="7"/>
        <v>32400</v>
      </c>
      <c r="L166" s="289"/>
      <c r="M166" s="289"/>
      <c r="N166" s="316"/>
      <c r="O166" s="310"/>
      <c r="P166" s="310"/>
      <c r="Q166" s="291"/>
      <c r="R166" s="283"/>
      <c r="S166" s="311"/>
      <c r="T166" s="288"/>
      <c r="U166" s="288"/>
      <c r="V166" s="288"/>
    </row>
    <row r="167" spans="1:22" s="317" customFormat="1">
      <c r="A167" s="283"/>
      <c r="B167" s="717"/>
      <c r="C167" s="722"/>
      <c r="D167" s="305" t="str">
        <f ca="1">IF(ISERROR(OFFSET('HARGA SATUAN'!$D$6,MATCH(RAB!C167,'HARGA SATUAN'!$C$7:$C$1495,0),0)),"",OFFSET('HARGA SATUAN'!$D$6,MATCH(RAB!C167,'HARGA SATUAN'!$C$7:$C$1495,0),0))</f>
        <v/>
      </c>
      <c r="E167" s="306" t="str">
        <f ca="1">IF(B167="+","Unit",IF(ISERROR(OFFSET('HARGA SATUAN'!$E$6,MATCH(RAB!C167,'HARGA SATUAN'!$C$7:$C$1495,0),0)),"",OFFSET('HARGA SATUAN'!$E$6,MATCH(RAB!C167,'HARGA SATUAN'!$C$7:$C$1495,0),0)))</f>
        <v/>
      </c>
      <c r="F167" s="723"/>
      <c r="G167" s="307">
        <f ca="1">IF(ISERROR(OFFSET('HARGA SATUAN'!$I$6,MATCH(RAB!C167,'HARGA SATUAN'!$C$7:$C$1495,0),0)),0,OFFSET('HARGA SATUAN'!$I$6,MATCH(RAB!C167,'HARGA SATUAN'!$C$7:$C$1495,0),0))</f>
        <v>0</v>
      </c>
      <c r="H167" s="308">
        <f t="shared" ca="1" si="4"/>
        <v>0</v>
      </c>
      <c r="I167" s="308">
        <f t="shared" ca="1" si="5"/>
        <v>0</v>
      </c>
      <c r="J167" s="308">
        <f t="shared" ca="1" si="6"/>
        <v>0</v>
      </c>
      <c r="K167" s="309">
        <f t="shared" ca="1" si="7"/>
        <v>0</v>
      </c>
      <c r="L167" s="289"/>
      <c r="M167" s="289"/>
      <c r="N167" s="316"/>
      <c r="O167" s="310"/>
      <c r="P167" s="310"/>
      <c r="Q167" s="291"/>
      <c r="R167" s="283"/>
      <c r="S167" s="311"/>
      <c r="T167" s="288"/>
      <c r="U167" s="288"/>
      <c r="V167" s="288"/>
    </row>
    <row r="168" spans="1:22" s="317" customFormat="1">
      <c r="A168" s="283"/>
      <c r="B168" s="717" t="s">
        <v>1035</v>
      </c>
      <c r="C168" s="718" t="s">
        <v>1644</v>
      </c>
      <c r="D168" s="305" t="str">
        <f ca="1">IF(ISERROR(OFFSET('HARGA SATUAN'!$D$6,MATCH(RAB!C168,'HARGA SATUAN'!$C$7:$C$1495,0),0)),"",OFFSET('HARGA SATUAN'!$D$6,MATCH(RAB!C168,'HARGA SATUAN'!$C$7:$C$1495,0),0))</f>
        <v/>
      </c>
      <c r="E168" s="306" t="str">
        <f ca="1">IF(B168="+","Unit",IF(ISERROR(OFFSET('HARGA SATUAN'!$E$6,MATCH(RAB!C168,'HARGA SATUAN'!$C$7:$C$1495,0),0)),"",OFFSET('HARGA SATUAN'!$E$6,MATCH(RAB!C168,'HARGA SATUAN'!$C$7:$C$1495,0),0)))</f>
        <v>Unit</v>
      </c>
      <c r="F168" s="452">
        <v>2</v>
      </c>
      <c r="G168" s="307">
        <f ca="1">IF(ISERROR(OFFSET('HARGA SATUAN'!$I$6,MATCH(RAB!C168,'HARGA SATUAN'!$C$7:$C$1495,0),0)),0,OFFSET('HARGA SATUAN'!$I$6,MATCH(RAB!C168,'HARGA SATUAN'!$C$7:$C$1495,0),0))</f>
        <v>0</v>
      </c>
      <c r="H168" s="308">
        <f t="shared" ca="1" si="4"/>
        <v>0</v>
      </c>
      <c r="I168" s="308">
        <f t="shared" ca="1" si="5"/>
        <v>0</v>
      </c>
      <c r="J168" s="308">
        <f t="shared" ca="1" si="6"/>
        <v>0</v>
      </c>
      <c r="K168" s="309">
        <f t="shared" ca="1" si="7"/>
        <v>0</v>
      </c>
      <c r="L168" s="289"/>
      <c r="M168" s="289"/>
      <c r="N168" s="316"/>
      <c r="O168" s="310"/>
      <c r="P168" s="310"/>
      <c r="Q168" s="291"/>
      <c r="R168" s="283"/>
      <c r="S168" s="311"/>
      <c r="T168" s="288"/>
      <c r="U168" s="288"/>
      <c r="V168" s="288"/>
    </row>
    <row r="169" spans="1:22" s="317" customFormat="1">
      <c r="A169" s="283"/>
      <c r="B169" s="717">
        <v>1</v>
      </c>
      <c r="C169" s="718" t="s">
        <v>30</v>
      </c>
      <c r="D169" s="305" t="str">
        <f ca="1">IF(ISERROR(OFFSET('HARGA SATUAN'!$D$6,MATCH(RAB!C169,'HARGA SATUAN'!$C$7:$C$1495,0),0)),"",OFFSET('HARGA SATUAN'!$D$6,MATCH(RAB!C169,'HARGA SATUAN'!$C$7:$C$1495,0),0))</f>
        <v>HDW</v>
      </c>
      <c r="E169" s="306" t="str">
        <f ca="1">IF(B169="+","Unit",IF(ISERROR(OFFSET('HARGA SATUAN'!$E$6,MATCH(RAB!C169,'HARGA SATUAN'!$C$7:$C$1495,0),0)),"",OFFSET('HARGA SATUAN'!$E$6,MATCH(RAB!C169,'HARGA SATUAN'!$C$7:$C$1495,0),0)))</f>
        <v>Bh</v>
      </c>
      <c r="F169" s="452">
        <f>F168*1</f>
        <v>2</v>
      </c>
      <c r="G169" s="307">
        <f ca="1">IF(ISERROR(OFFSET('HARGA SATUAN'!$I$6,MATCH(RAB!C169,'HARGA SATUAN'!$C$7:$C$1495,0),0)),0,OFFSET('HARGA SATUAN'!$I$6,MATCH(RAB!C169,'HARGA SATUAN'!$C$7:$C$1495,0),0))</f>
        <v>47459</v>
      </c>
      <c r="H169" s="308">
        <f t="shared" ca="1" si="4"/>
        <v>0</v>
      </c>
      <c r="I169" s="308">
        <f t="shared" ca="1" si="5"/>
        <v>94918</v>
      </c>
      <c r="J169" s="308">
        <f t="shared" ca="1" si="6"/>
        <v>0</v>
      </c>
      <c r="K169" s="309">
        <f t="shared" ca="1" si="7"/>
        <v>94918</v>
      </c>
      <c r="L169" s="289"/>
      <c r="M169" s="289"/>
      <c r="N169" s="316"/>
      <c r="O169" s="310"/>
      <c r="P169" s="310"/>
      <c r="Q169" s="291"/>
      <c r="R169" s="283"/>
      <c r="S169" s="311"/>
      <c r="T169" s="288"/>
      <c r="U169" s="288"/>
      <c r="V169" s="288"/>
    </row>
    <row r="170" spans="1:22" s="317" customFormat="1">
      <c r="A170" s="283"/>
      <c r="B170" s="717">
        <v>2</v>
      </c>
      <c r="C170" s="718" t="s">
        <v>32</v>
      </c>
      <c r="D170" s="305" t="str">
        <f ca="1">IF(ISERROR(OFFSET('HARGA SATUAN'!$D$6,MATCH(RAB!C170,'HARGA SATUAN'!$C$7:$C$1495,0),0)),"",OFFSET('HARGA SATUAN'!$D$6,MATCH(RAB!C170,'HARGA SATUAN'!$C$7:$C$1495,0),0))</f>
        <v>HDW</v>
      </c>
      <c r="E170" s="306" t="str">
        <f ca="1">IF(B170="+","Unit",IF(ISERROR(OFFSET('HARGA SATUAN'!$E$6,MATCH(RAB!C170,'HARGA SATUAN'!$C$7:$C$1495,0),0)),"",OFFSET('HARGA SATUAN'!$E$6,MATCH(RAB!C170,'HARGA SATUAN'!$C$7:$C$1495,0),0)))</f>
        <v>Mtr</v>
      </c>
      <c r="F170" s="452">
        <f>F168*1</f>
        <v>2</v>
      </c>
      <c r="G170" s="307">
        <f ca="1">IF(ISERROR(OFFSET('HARGA SATUAN'!$I$6,MATCH(RAB!C170,'HARGA SATUAN'!$C$7:$C$1495,0),0)),0,OFFSET('HARGA SATUAN'!$I$6,MATCH(RAB!C170,'HARGA SATUAN'!$C$7:$C$1495,0),0))</f>
        <v>30000</v>
      </c>
      <c r="H170" s="308">
        <f t="shared" ca="1" si="4"/>
        <v>0</v>
      </c>
      <c r="I170" s="308">
        <f t="shared" ca="1" si="5"/>
        <v>60000</v>
      </c>
      <c r="J170" s="308">
        <f t="shared" ca="1" si="6"/>
        <v>0</v>
      </c>
      <c r="K170" s="309">
        <f t="shared" ca="1" si="7"/>
        <v>60000</v>
      </c>
      <c r="L170" s="289"/>
      <c r="M170" s="289"/>
      <c r="N170" s="316"/>
      <c r="O170" s="310"/>
      <c r="P170" s="310"/>
      <c r="Q170" s="291"/>
      <c r="R170" s="283"/>
      <c r="S170" s="311"/>
      <c r="T170" s="288"/>
      <c r="U170" s="288"/>
      <c r="V170" s="288"/>
    </row>
    <row r="171" spans="1:22" s="317" customFormat="1">
      <c r="A171" s="283"/>
      <c r="B171" s="717">
        <v>3</v>
      </c>
      <c r="C171" s="718" t="s">
        <v>33</v>
      </c>
      <c r="D171" s="305" t="str">
        <f ca="1">IF(ISERROR(OFFSET('HARGA SATUAN'!$D$6,MATCH(RAB!C171,'HARGA SATUAN'!$C$7:$C$1495,0),0)),"",OFFSET('HARGA SATUAN'!$D$6,MATCH(RAB!C171,'HARGA SATUAN'!$C$7:$C$1495,0),0))</f>
        <v>HDW</v>
      </c>
      <c r="E171" s="306" t="str">
        <f ca="1">IF(B171="+","Unit",IF(ISERROR(OFFSET('HARGA SATUAN'!$E$6,MATCH(RAB!C171,'HARGA SATUAN'!$C$7:$C$1495,0),0)),"",OFFSET('HARGA SATUAN'!$E$6,MATCH(RAB!C171,'HARGA SATUAN'!$C$7:$C$1495,0),0)))</f>
        <v>Bh</v>
      </c>
      <c r="F171" s="452">
        <f>F168*1</f>
        <v>2</v>
      </c>
      <c r="G171" s="307">
        <f ca="1">IF(ISERROR(OFFSET('HARGA SATUAN'!$I$6,MATCH(RAB!C171,'HARGA SATUAN'!$C$7:$C$1495,0),0)),0,OFFSET('HARGA SATUAN'!$I$6,MATCH(RAB!C171,'HARGA SATUAN'!$C$7:$C$1495,0),0))</f>
        <v>9500</v>
      </c>
      <c r="H171" s="308">
        <f t="shared" ca="1" si="4"/>
        <v>0</v>
      </c>
      <c r="I171" s="308">
        <f t="shared" ca="1" si="5"/>
        <v>19000</v>
      </c>
      <c r="J171" s="308">
        <f t="shared" ca="1" si="6"/>
        <v>0</v>
      </c>
      <c r="K171" s="309">
        <f t="shared" ca="1" si="7"/>
        <v>19000</v>
      </c>
      <c r="L171" s="289"/>
      <c r="M171" s="289"/>
      <c r="N171" s="316"/>
      <c r="O171" s="310"/>
      <c r="P171" s="310"/>
      <c r="Q171" s="291"/>
      <c r="R171" s="283"/>
      <c r="S171" s="311"/>
      <c r="T171" s="288"/>
      <c r="U171" s="288"/>
      <c r="V171" s="288"/>
    </row>
    <row r="172" spans="1:22" s="317" customFormat="1">
      <c r="A172" s="283"/>
      <c r="B172" s="717">
        <v>4</v>
      </c>
      <c r="C172" s="718" t="s">
        <v>738</v>
      </c>
      <c r="D172" s="305" t="str">
        <f ca="1">IF(ISERROR(OFFSET('HARGA SATUAN'!$D$6,MATCH(RAB!C172,'HARGA SATUAN'!$C$7:$C$1495,0),0)),"",OFFSET('HARGA SATUAN'!$D$6,MATCH(RAB!C172,'HARGA SATUAN'!$C$7:$C$1495,0),0))</f>
        <v>JASA</v>
      </c>
      <c r="E172" s="306" t="str">
        <f ca="1">IF(B172="+","Unit",IF(ISERROR(OFFSET('HARGA SATUAN'!$E$6,MATCH(RAB!C172,'HARGA SATUAN'!$C$7:$C$1495,0),0)),"",OFFSET('HARGA SATUAN'!$E$6,MATCH(RAB!C172,'HARGA SATUAN'!$C$7:$C$1495,0),0)))</f>
        <v>Unit</v>
      </c>
      <c r="F172" s="452">
        <f>F168*1</f>
        <v>2</v>
      </c>
      <c r="G172" s="307">
        <f ca="1">IF(ISERROR(OFFSET('HARGA SATUAN'!$I$6,MATCH(RAB!C172,'HARGA SATUAN'!$C$7:$C$1495,0),0)),0,OFFSET('HARGA SATUAN'!$I$6,MATCH(RAB!C172,'HARGA SATUAN'!$C$7:$C$1495,0),0))</f>
        <v>21200</v>
      </c>
      <c r="H172" s="308">
        <f t="shared" ca="1" si="4"/>
        <v>0</v>
      </c>
      <c r="I172" s="308">
        <f t="shared" ca="1" si="5"/>
        <v>0</v>
      </c>
      <c r="J172" s="308">
        <f t="shared" ca="1" si="6"/>
        <v>42400</v>
      </c>
      <c r="K172" s="309">
        <f t="shared" ca="1" si="7"/>
        <v>42400</v>
      </c>
      <c r="L172" s="289"/>
      <c r="M172" s="289"/>
      <c r="N172" s="316"/>
      <c r="O172" s="310"/>
      <c r="P172" s="310"/>
      <c r="Q172" s="291"/>
      <c r="R172" s="283"/>
      <c r="S172" s="311"/>
      <c r="T172" s="288"/>
      <c r="U172" s="288"/>
      <c r="V172" s="288"/>
    </row>
    <row r="173" spans="1:22" s="317" customFormat="1">
      <c r="A173" s="283"/>
      <c r="B173" s="717"/>
      <c r="C173" s="722"/>
      <c r="D173" s="305" t="str">
        <f ca="1">IF(ISERROR(OFFSET('HARGA SATUAN'!$D$6,MATCH(RAB!C173,'HARGA SATUAN'!$C$7:$C$1495,0),0)),"",OFFSET('HARGA SATUAN'!$D$6,MATCH(RAB!C173,'HARGA SATUAN'!$C$7:$C$1495,0),0))</f>
        <v/>
      </c>
      <c r="E173" s="306" t="str">
        <f ca="1">IF(B173="+","Unit",IF(ISERROR(OFFSET('HARGA SATUAN'!$E$6,MATCH(RAB!C173,'HARGA SATUAN'!$C$7:$C$1495,0),0)),"",OFFSET('HARGA SATUAN'!$E$6,MATCH(RAB!C173,'HARGA SATUAN'!$C$7:$C$1495,0),0)))</f>
        <v/>
      </c>
      <c r="F173" s="723"/>
      <c r="G173" s="307">
        <f ca="1">IF(ISERROR(OFFSET('HARGA SATUAN'!$I$6,MATCH(RAB!C173,'HARGA SATUAN'!$C$7:$C$1495,0),0)),0,OFFSET('HARGA SATUAN'!$I$6,MATCH(RAB!C173,'HARGA SATUAN'!$C$7:$C$1495,0),0))</f>
        <v>0</v>
      </c>
      <c r="H173" s="308">
        <f t="shared" ca="1" si="4"/>
        <v>0</v>
      </c>
      <c r="I173" s="308">
        <f t="shared" ca="1" si="5"/>
        <v>0</v>
      </c>
      <c r="J173" s="308">
        <f t="shared" ca="1" si="6"/>
        <v>0</v>
      </c>
      <c r="K173" s="309">
        <f t="shared" ca="1" si="7"/>
        <v>0</v>
      </c>
      <c r="L173" s="289"/>
      <c r="M173" s="289"/>
      <c r="N173" s="316"/>
      <c r="O173" s="310"/>
      <c r="P173" s="310"/>
      <c r="Q173" s="291"/>
      <c r="R173" s="283"/>
      <c r="S173" s="311"/>
      <c r="T173" s="288"/>
      <c r="U173" s="288"/>
      <c r="V173" s="288"/>
    </row>
    <row r="174" spans="1:22" s="317" customFormat="1">
      <c r="A174" s="283"/>
      <c r="B174" s="719" t="s">
        <v>1035</v>
      </c>
      <c r="C174" s="722" t="s">
        <v>1647</v>
      </c>
      <c r="D174" s="305" t="str">
        <f ca="1">IF(ISERROR(OFFSET('HARGA SATUAN'!$D$6,MATCH(RAB!C174,'HARGA SATUAN'!$C$7:$C$1495,0),0)),"",OFFSET('HARGA SATUAN'!$D$6,MATCH(RAB!C174,'HARGA SATUAN'!$C$7:$C$1495,0),0))</f>
        <v/>
      </c>
      <c r="E174" s="306" t="str">
        <f ca="1">IF(B174="+","Unit",IF(ISERROR(OFFSET('HARGA SATUAN'!$E$6,MATCH(RAB!C174,'HARGA SATUAN'!$C$7:$C$1495,0),0)),"",OFFSET('HARGA SATUAN'!$E$6,MATCH(RAB!C174,'HARGA SATUAN'!$C$7:$C$1495,0),0)))</f>
        <v>Unit</v>
      </c>
      <c r="F174" s="452">
        <v>2</v>
      </c>
      <c r="G174" s="307">
        <f ca="1">IF(ISERROR(OFFSET('HARGA SATUAN'!$I$6,MATCH(RAB!C174,'HARGA SATUAN'!$C$7:$C$1495,0),0)),0,OFFSET('HARGA SATUAN'!$I$6,MATCH(RAB!C174,'HARGA SATUAN'!$C$7:$C$1495,0),0))</f>
        <v>0</v>
      </c>
      <c r="H174" s="308">
        <f t="shared" ca="1" si="4"/>
        <v>0</v>
      </c>
      <c r="I174" s="308">
        <f t="shared" ca="1" si="5"/>
        <v>0</v>
      </c>
      <c r="J174" s="308">
        <f t="shared" ca="1" si="6"/>
        <v>0</v>
      </c>
      <c r="K174" s="309">
        <f t="shared" ca="1" si="7"/>
        <v>0</v>
      </c>
      <c r="L174" s="289"/>
      <c r="M174" s="289"/>
      <c r="N174" s="316"/>
      <c r="O174" s="310"/>
      <c r="P174" s="310"/>
      <c r="Q174" s="291"/>
      <c r="R174" s="283"/>
      <c r="S174" s="311"/>
      <c r="T174" s="288"/>
      <c r="U174" s="288"/>
      <c r="V174" s="288"/>
    </row>
    <row r="175" spans="1:22" s="317" customFormat="1">
      <c r="A175" s="283"/>
      <c r="B175" s="717">
        <v>1</v>
      </c>
      <c r="C175" s="718" t="s">
        <v>28</v>
      </c>
      <c r="D175" s="305" t="str">
        <f ca="1">IF(ISERROR(OFFSET('HARGA SATUAN'!$D$6,MATCH(RAB!C175,'HARGA SATUAN'!$C$7:$C$1495,0),0)),"",OFFSET('HARGA SATUAN'!$D$6,MATCH(RAB!C175,'HARGA SATUAN'!$C$7:$C$1495,0),0))</f>
        <v>HDW</v>
      </c>
      <c r="E175" s="306" t="str">
        <f ca="1">IF(B175="+","Unit",IF(ISERROR(OFFSET('HARGA SATUAN'!$E$6,MATCH(RAB!C175,'HARGA SATUAN'!$C$7:$C$1495,0),0)),"",OFFSET('HARGA SATUAN'!$E$6,MATCH(RAB!C175,'HARGA SATUAN'!$C$7:$C$1495,0),0)))</f>
        <v>Bh</v>
      </c>
      <c r="F175" s="452">
        <f>F174*1</f>
        <v>2</v>
      </c>
      <c r="G175" s="307">
        <f ca="1">IF(ISERROR(OFFSET('HARGA SATUAN'!$I$6,MATCH(RAB!C175,'HARGA SATUAN'!$C$7:$C$1495,0),0)),0,OFFSET('HARGA SATUAN'!$I$6,MATCH(RAB!C175,'HARGA SATUAN'!$C$7:$C$1495,0),0))</f>
        <v>26500</v>
      </c>
      <c r="H175" s="308">
        <f t="shared" ca="1" si="4"/>
        <v>0</v>
      </c>
      <c r="I175" s="308">
        <f t="shared" ca="1" si="5"/>
        <v>53000</v>
      </c>
      <c r="J175" s="308">
        <f t="shared" ca="1" si="6"/>
        <v>0</v>
      </c>
      <c r="K175" s="309">
        <f t="shared" ca="1" si="7"/>
        <v>53000</v>
      </c>
      <c r="L175" s="289"/>
      <c r="M175" s="289"/>
      <c r="N175" s="316"/>
      <c r="O175" s="310"/>
      <c r="P175" s="310"/>
      <c r="Q175" s="291"/>
      <c r="R175" s="283"/>
      <c r="S175" s="311"/>
      <c r="T175" s="288"/>
      <c r="U175" s="288"/>
      <c r="V175" s="288"/>
    </row>
    <row r="176" spans="1:22" s="317" customFormat="1">
      <c r="A176" s="283"/>
      <c r="B176" s="717">
        <v>2</v>
      </c>
      <c r="C176" s="718" t="s">
        <v>203</v>
      </c>
      <c r="D176" s="305" t="str">
        <f ca="1">IF(ISERROR(OFFSET('HARGA SATUAN'!$D$6,MATCH(RAB!C176,'HARGA SATUAN'!$C$7:$C$1495,0),0)),"",OFFSET('HARGA SATUAN'!$D$6,MATCH(RAB!C176,'HARGA SATUAN'!$C$7:$C$1495,0),0))</f>
        <v>HDW</v>
      </c>
      <c r="E176" s="306" t="str">
        <f ca="1">IF(B176="+","Unit",IF(ISERROR(OFFSET('HARGA SATUAN'!$E$6,MATCH(RAB!C176,'HARGA SATUAN'!$C$7:$C$1495,0),0)),"",OFFSET('HARGA SATUAN'!$E$6,MATCH(RAB!C176,'HARGA SATUAN'!$C$7:$C$1495,0),0)))</f>
        <v>Bh</v>
      </c>
      <c r="F176" s="452">
        <f>F174*1</f>
        <v>2</v>
      </c>
      <c r="G176" s="307">
        <f ca="1">IF(ISERROR(OFFSET('HARGA SATUAN'!$I$6,MATCH(RAB!C176,'HARGA SATUAN'!$C$7:$C$1495,0),0)),0,OFFSET('HARGA SATUAN'!$I$6,MATCH(RAB!C176,'HARGA SATUAN'!$C$7:$C$1495,0),0))</f>
        <v>12500</v>
      </c>
      <c r="H176" s="308">
        <f t="shared" ca="1" si="4"/>
        <v>0</v>
      </c>
      <c r="I176" s="308">
        <f t="shared" ca="1" si="5"/>
        <v>25000</v>
      </c>
      <c r="J176" s="308">
        <f t="shared" ca="1" si="6"/>
        <v>0</v>
      </c>
      <c r="K176" s="309">
        <f t="shared" ca="1" si="7"/>
        <v>25000</v>
      </c>
      <c r="L176" s="289"/>
      <c r="M176" s="289"/>
      <c r="N176" s="316"/>
      <c r="O176" s="310"/>
      <c r="P176" s="310"/>
      <c r="Q176" s="291"/>
      <c r="R176" s="283"/>
      <c r="S176" s="311"/>
      <c r="T176" s="288"/>
      <c r="U176" s="288"/>
      <c r="V176" s="288"/>
    </row>
    <row r="177" spans="1:22" s="317" customFormat="1">
      <c r="A177" s="283"/>
      <c r="B177" s="717">
        <v>3</v>
      </c>
      <c r="C177" s="718" t="s">
        <v>205</v>
      </c>
      <c r="D177" s="305" t="str">
        <f ca="1">IF(ISERROR(OFFSET('HARGA SATUAN'!$D$6,MATCH(RAB!C177,'HARGA SATUAN'!$C$7:$C$1495,0),0)),"",OFFSET('HARGA SATUAN'!$D$6,MATCH(RAB!C177,'HARGA SATUAN'!$C$7:$C$1495,0),0))</f>
        <v>HDW</v>
      </c>
      <c r="E177" s="306" t="str">
        <f ca="1">IF(B177="+","Unit",IF(ISERROR(OFFSET('HARGA SATUAN'!$E$6,MATCH(RAB!C177,'HARGA SATUAN'!$C$7:$C$1495,0),0)),"",OFFSET('HARGA SATUAN'!$E$6,MATCH(RAB!C177,'HARGA SATUAN'!$C$7:$C$1495,0),0)))</f>
        <v>Mtr</v>
      </c>
      <c r="F177" s="452">
        <f>F174*12</f>
        <v>24</v>
      </c>
      <c r="G177" s="307">
        <f ca="1">IF(ISERROR(OFFSET('HARGA SATUAN'!$I$6,MATCH(RAB!C177,'HARGA SATUAN'!$C$7:$C$1495,0),0)),0,OFFSET('HARGA SATUAN'!$I$6,MATCH(RAB!C177,'HARGA SATUAN'!$C$7:$C$1495,0),0))</f>
        <v>24300</v>
      </c>
      <c r="H177" s="308">
        <f t="shared" ca="1" si="4"/>
        <v>0</v>
      </c>
      <c r="I177" s="308">
        <f t="shared" ca="1" si="5"/>
        <v>583200</v>
      </c>
      <c r="J177" s="308">
        <f t="shared" ca="1" si="6"/>
        <v>0</v>
      </c>
      <c r="K177" s="309">
        <f t="shared" ca="1" si="7"/>
        <v>583200</v>
      </c>
      <c r="L177" s="289"/>
      <c r="M177" s="289"/>
      <c r="N177" s="316"/>
      <c r="O177" s="310"/>
      <c r="P177" s="310"/>
      <c r="Q177" s="291"/>
      <c r="R177" s="283"/>
      <c r="S177" s="311"/>
      <c r="T177" s="288"/>
      <c r="U177" s="288"/>
      <c r="V177" s="288"/>
    </row>
    <row r="178" spans="1:22" s="317" customFormat="1">
      <c r="A178" s="283"/>
      <c r="B178" s="717">
        <v>4</v>
      </c>
      <c r="C178" s="718" t="s">
        <v>287</v>
      </c>
      <c r="D178" s="305" t="str">
        <f ca="1">IF(ISERROR(OFFSET('HARGA SATUAN'!$D$6,MATCH(RAB!C178,'HARGA SATUAN'!$C$7:$C$1495,0),0)),"",OFFSET('HARGA SATUAN'!$D$6,MATCH(RAB!C178,'HARGA SATUAN'!$C$7:$C$1495,0),0))</f>
        <v>HDW</v>
      </c>
      <c r="E178" s="306" t="str">
        <f ca="1">IF(B178="+","Unit",IF(ISERROR(OFFSET('HARGA SATUAN'!$E$6,MATCH(RAB!C178,'HARGA SATUAN'!$C$7:$C$1495,0),0)),"",OFFSET('HARGA SATUAN'!$E$6,MATCH(RAB!C178,'HARGA SATUAN'!$C$7:$C$1495,0),0)))</f>
        <v>Bh</v>
      </c>
      <c r="F178" s="452">
        <f>F174*2</f>
        <v>4</v>
      </c>
      <c r="G178" s="307">
        <f ca="1">IF(ISERROR(OFFSET('HARGA SATUAN'!$I$6,MATCH(RAB!C178,'HARGA SATUAN'!$C$7:$C$1495,0),0)),0,OFFSET('HARGA SATUAN'!$I$6,MATCH(RAB!C178,'HARGA SATUAN'!$C$7:$C$1495,0),0))</f>
        <v>40000</v>
      </c>
      <c r="H178" s="308">
        <f t="shared" ca="1" si="4"/>
        <v>0</v>
      </c>
      <c r="I178" s="308">
        <f t="shared" ca="1" si="5"/>
        <v>160000</v>
      </c>
      <c r="J178" s="308">
        <f t="shared" ca="1" si="6"/>
        <v>0</v>
      </c>
      <c r="K178" s="309">
        <f t="shared" ca="1" si="7"/>
        <v>160000</v>
      </c>
      <c r="L178" s="289"/>
      <c r="M178" s="289"/>
      <c r="N178" s="316"/>
      <c r="O178" s="310"/>
      <c r="P178" s="310"/>
      <c r="Q178" s="291"/>
      <c r="R178" s="283"/>
      <c r="S178" s="311"/>
      <c r="T178" s="288"/>
      <c r="U178" s="288"/>
      <c r="V178" s="288"/>
    </row>
    <row r="179" spans="1:22" s="317" customFormat="1">
      <c r="A179" s="283"/>
      <c r="B179" s="717">
        <v>5</v>
      </c>
      <c r="C179" s="718" t="s">
        <v>26</v>
      </c>
      <c r="D179" s="305" t="str">
        <f ca="1">IF(ISERROR(OFFSET('HARGA SATUAN'!$D$6,MATCH(RAB!C179,'HARGA SATUAN'!$C$7:$C$1495,0),0)),"",OFFSET('HARGA SATUAN'!$D$6,MATCH(RAB!C179,'HARGA SATUAN'!$C$7:$C$1495,0),0))</f>
        <v>HDW</v>
      </c>
      <c r="E179" s="306" t="str">
        <f ca="1">IF(B179="+","Unit",IF(ISERROR(OFFSET('HARGA SATUAN'!$E$6,MATCH(RAB!C179,'HARGA SATUAN'!$C$7:$C$1495,0),0)),"",OFFSET('HARGA SATUAN'!$E$6,MATCH(RAB!C179,'HARGA SATUAN'!$C$7:$C$1495,0),0)))</f>
        <v>Bh</v>
      </c>
      <c r="F179" s="452">
        <f>F174*1</f>
        <v>2</v>
      </c>
      <c r="G179" s="307">
        <f ca="1">IF(ISERROR(OFFSET('HARGA SATUAN'!$I$6,MATCH(RAB!C179,'HARGA SATUAN'!$C$7:$C$1495,0),0)),0,OFFSET('HARGA SATUAN'!$I$6,MATCH(RAB!C179,'HARGA SATUAN'!$C$7:$C$1495,0),0))</f>
        <v>2500</v>
      </c>
      <c r="H179" s="308">
        <f t="shared" ca="1" si="4"/>
        <v>0</v>
      </c>
      <c r="I179" s="308">
        <f t="shared" ca="1" si="5"/>
        <v>5000</v>
      </c>
      <c r="J179" s="308">
        <f t="shared" ca="1" si="6"/>
        <v>0</v>
      </c>
      <c r="K179" s="309">
        <f t="shared" ca="1" si="7"/>
        <v>5000</v>
      </c>
      <c r="L179" s="289"/>
      <c r="M179" s="289"/>
      <c r="N179" s="316"/>
      <c r="O179" s="310"/>
      <c r="P179" s="310"/>
      <c r="Q179" s="291"/>
      <c r="R179" s="283"/>
      <c r="S179" s="311"/>
      <c r="T179" s="288"/>
      <c r="U179" s="288"/>
      <c r="V179" s="288"/>
    </row>
    <row r="180" spans="1:22" s="317" customFormat="1">
      <c r="A180" s="283"/>
      <c r="B180" s="717">
        <v>6</v>
      </c>
      <c r="C180" s="718" t="s">
        <v>759</v>
      </c>
      <c r="D180" s="305" t="str">
        <f ca="1">IF(ISERROR(OFFSET('HARGA SATUAN'!$D$6,MATCH(RAB!C180,'HARGA SATUAN'!$C$7:$C$1495,0),0)),"",OFFSET('HARGA SATUAN'!$D$6,MATCH(RAB!C180,'HARGA SATUAN'!$C$7:$C$1495,0),0))</f>
        <v>JASA</v>
      </c>
      <c r="E180" s="306" t="str">
        <f ca="1">IF(B180="+","Unit",IF(ISERROR(OFFSET('HARGA SATUAN'!$E$6,MATCH(RAB!C180,'HARGA SATUAN'!$C$7:$C$1495,0),0)),"",OFFSET('HARGA SATUAN'!$E$6,MATCH(RAB!C180,'HARGA SATUAN'!$C$7:$C$1495,0),0)))</f>
        <v>Unit</v>
      </c>
      <c r="F180" s="452">
        <f>F174*1</f>
        <v>2</v>
      </c>
      <c r="G180" s="307">
        <f ca="1">IF(ISERROR(OFFSET('HARGA SATUAN'!$I$6,MATCH(RAB!C180,'HARGA SATUAN'!$C$7:$C$1495,0),0)),0,OFFSET('HARGA SATUAN'!$I$6,MATCH(RAB!C180,'HARGA SATUAN'!$C$7:$C$1495,0),0))</f>
        <v>43500</v>
      </c>
      <c r="H180" s="308">
        <f t="shared" ca="1" si="4"/>
        <v>0</v>
      </c>
      <c r="I180" s="308">
        <f t="shared" ca="1" si="5"/>
        <v>0</v>
      </c>
      <c r="J180" s="308">
        <f t="shared" ca="1" si="6"/>
        <v>87000</v>
      </c>
      <c r="K180" s="309">
        <f t="shared" ca="1" si="7"/>
        <v>87000</v>
      </c>
      <c r="L180" s="289"/>
      <c r="M180" s="289"/>
      <c r="N180" s="316"/>
      <c r="O180" s="310"/>
      <c r="P180" s="310"/>
      <c r="Q180" s="291"/>
      <c r="R180" s="283"/>
      <c r="S180" s="311"/>
      <c r="T180" s="288"/>
      <c r="U180" s="288"/>
      <c r="V180" s="288"/>
    </row>
    <row r="181" spans="1:22" s="317" customFormat="1">
      <c r="A181" s="283"/>
      <c r="B181" s="514"/>
      <c r="C181" s="515"/>
      <c r="D181" s="305" t="str">
        <f ca="1">IF(ISERROR(OFFSET('HARGA SATUAN'!$D$6,MATCH(RAB!C181,'HARGA SATUAN'!$C$7:$C$1495,0),0)),"",OFFSET('HARGA SATUAN'!$D$6,MATCH(RAB!C181,'HARGA SATUAN'!$C$7:$C$1495,0),0))</f>
        <v/>
      </c>
      <c r="E181" s="306" t="str">
        <f ca="1">IF(B181="+","Unit",IF(ISERROR(OFFSET('HARGA SATUAN'!$E$6,MATCH(RAB!C181,'HARGA SATUAN'!$C$7:$C$1495,0),0)),"",OFFSET('HARGA SATUAN'!$E$6,MATCH(RAB!C181,'HARGA SATUAN'!$C$7:$C$1495,0),0)))</f>
        <v/>
      </c>
      <c r="F181" s="452"/>
      <c r="G181" s="307">
        <f ca="1">IF(ISERROR(OFFSET('HARGA SATUAN'!$I$6,MATCH(RAB!C181,'HARGA SATUAN'!$C$7:$C$1495,0),0)),0,OFFSET('HARGA SATUAN'!$I$6,MATCH(RAB!C181,'HARGA SATUAN'!$C$7:$C$1495,0),0))</f>
        <v>0</v>
      </c>
      <c r="H181" s="308">
        <f t="shared" ca="1" si="4"/>
        <v>0</v>
      </c>
      <c r="I181" s="308">
        <f t="shared" ca="1" si="5"/>
        <v>0</v>
      </c>
      <c r="J181" s="308">
        <f t="shared" ca="1" si="6"/>
        <v>0</v>
      </c>
      <c r="K181" s="309">
        <f t="shared" ca="1" si="7"/>
        <v>0</v>
      </c>
      <c r="L181" s="289"/>
      <c r="M181" s="289"/>
      <c r="N181" s="316"/>
      <c r="O181" s="310"/>
      <c r="P181" s="310"/>
      <c r="Q181" s="291"/>
      <c r="R181" s="283"/>
      <c r="S181" s="311"/>
      <c r="T181" s="288"/>
      <c r="U181" s="288"/>
      <c r="V181" s="288"/>
    </row>
    <row r="182" spans="1:22" s="317" customFormat="1">
      <c r="A182" s="283"/>
      <c r="B182" s="717" t="s">
        <v>1035</v>
      </c>
      <c r="C182" s="718" t="s">
        <v>1648</v>
      </c>
      <c r="D182" s="305" t="str">
        <f ca="1">IF(ISERROR(OFFSET('HARGA SATUAN'!$D$6,MATCH(RAB!C182,'HARGA SATUAN'!$C$7:$C$1495,0),0)),"",OFFSET('HARGA SATUAN'!$D$6,MATCH(RAB!C182,'HARGA SATUAN'!$C$7:$C$1495,0),0))</f>
        <v/>
      </c>
      <c r="E182" s="306" t="str">
        <f ca="1">IF(B182="+","Unit",IF(ISERROR(OFFSET('HARGA SATUAN'!$E$6,MATCH(RAB!C182,'HARGA SATUAN'!$C$7:$C$1495,0),0)),"",OFFSET('HARGA SATUAN'!$E$6,MATCH(RAB!C182,'HARGA SATUAN'!$C$7:$C$1495,0),0)))</f>
        <v>Unit</v>
      </c>
      <c r="F182" s="723">
        <v>2</v>
      </c>
      <c r="G182" s="307">
        <f ca="1">IF(ISERROR(OFFSET('HARGA SATUAN'!$I$6,MATCH(RAB!C182,'HARGA SATUAN'!$C$7:$C$1495,0),0)),0,OFFSET('HARGA SATUAN'!$I$6,MATCH(RAB!C182,'HARGA SATUAN'!$C$7:$C$1495,0),0))</f>
        <v>0</v>
      </c>
      <c r="H182" s="308">
        <f t="shared" ca="1" si="4"/>
        <v>0</v>
      </c>
      <c r="I182" s="308">
        <f t="shared" ca="1" si="5"/>
        <v>0</v>
      </c>
      <c r="J182" s="308">
        <f t="shared" ca="1" si="6"/>
        <v>0</v>
      </c>
      <c r="K182" s="309">
        <f t="shared" ca="1" si="7"/>
        <v>0</v>
      </c>
      <c r="L182" s="289"/>
      <c r="M182" s="289"/>
      <c r="N182" s="316"/>
      <c r="O182" s="310"/>
      <c r="P182" s="310"/>
      <c r="Q182" s="291"/>
      <c r="R182" s="283"/>
      <c r="S182" s="311"/>
      <c r="T182" s="288"/>
      <c r="U182" s="288"/>
      <c r="V182" s="288"/>
    </row>
    <row r="183" spans="1:22" s="317" customFormat="1">
      <c r="A183" s="283"/>
      <c r="B183" s="717">
        <v>1</v>
      </c>
      <c r="C183" s="718" t="s">
        <v>262</v>
      </c>
      <c r="D183" s="305" t="str">
        <f ca="1">IF(ISERROR(OFFSET('HARGA SATUAN'!$D$6,MATCH(RAB!C183,'HARGA SATUAN'!$C$7:$C$1495,0),0)),"",OFFSET('HARGA SATUAN'!$D$6,MATCH(RAB!C183,'HARGA SATUAN'!$C$7:$C$1495,0),0))</f>
        <v>HDW</v>
      </c>
      <c r="E183" s="306" t="str">
        <f ca="1">IF(B183="+","Unit",IF(ISERROR(OFFSET('HARGA SATUAN'!$E$6,MATCH(RAB!C183,'HARGA SATUAN'!$C$7:$C$1495,0),0)),"",OFFSET('HARGA SATUAN'!$E$6,MATCH(RAB!C183,'HARGA SATUAN'!$C$7:$C$1495,0),0)))</f>
        <v>Bh</v>
      </c>
      <c r="F183" s="723">
        <f>F182*1</f>
        <v>2</v>
      </c>
      <c r="G183" s="307">
        <f ca="1">IF(ISERROR(OFFSET('HARGA SATUAN'!$I$6,MATCH(RAB!C183,'HARGA SATUAN'!$C$7:$C$1495,0),0)),0,OFFSET('HARGA SATUAN'!$I$6,MATCH(RAB!C183,'HARGA SATUAN'!$C$7:$C$1495,0),0))</f>
        <v>104200</v>
      </c>
      <c r="H183" s="308">
        <f t="shared" ca="1" si="4"/>
        <v>0</v>
      </c>
      <c r="I183" s="308">
        <f t="shared" ca="1" si="5"/>
        <v>208400</v>
      </c>
      <c r="J183" s="308">
        <f t="shared" ca="1" si="6"/>
        <v>0</v>
      </c>
      <c r="K183" s="309">
        <f t="shared" ca="1" si="7"/>
        <v>208400</v>
      </c>
      <c r="L183" s="289"/>
      <c r="M183" s="289"/>
      <c r="N183" s="316"/>
      <c r="O183" s="310"/>
      <c r="P183" s="310"/>
      <c r="Q183" s="291"/>
      <c r="R183" s="283"/>
      <c r="S183" s="311"/>
      <c r="T183" s="288"/>
      <c r="U183" s="288"/>
      <c r="V183" s="288"/>
    </row>
    <row r="184" spans="1:22" s="317" customFormat="1">
      <c r="A184" s="283"/>
      <c r="B184" s="717">
        <v>2</v>
      </c>
      <c r="C184" s="718" t="s">
        <v>596</v>
      </c>
      <c r="D184" s="305" t="str">
        <f ca="1">IF(ISERROR(OFFSET('HARGA SATUAN'!$D$6,MATCH(RAB!C184,'HARGA SATUAN'!$C$7:$C$1495,0),0)),"",OFFSET('HARGA SATUAN'!$D$6,MATCH(RAB!C184,'HARGA SATUAN'!$C$7:$C$1495,0),0))</f>
        <v>HDW</v>
      </c>
      <c r="E184" s="306" t="str">
        <f ca="1">IF(B184="+","Unit",IF(ISERROR(OFFSET('HARGA SATUAN'!$E$6,MATCH(RAB!C184,'HARGA SATUAN'!$C$7:$C$1495,0),0)),"",OFFSET('HARGA SATUAN'!$E$6,MATCH(RAB!C184,'HARGA SATUAN'!$C$7:$C$1495,0),0)))</f>
        <v>Bh</v>
      </c>
      <c r="F184" s="723">
        <f>F182*1</f>
        <v>2</v>
      </c>
      <c r="G184" s="307">
        <f ca="1">IF(ISERROR(OFFSET('HARGA SATUAN'!$I$6,MATCH(RAB!C184,'HARGA SATUAN'!$C$7:$C$1495,0),0)),0,OFFSET('HARGA SATUAN'!$I$6,MATCH(RAB!C184,'HARGA SATUAN'!$C$7:$C$1495,0),0))</f>
        <v>120000</v>
      </c>
      <c r="H184" s="308">
        <f t="shared" ca="1" si="4"/>
        <v>0</v>
      </c>
      <c r="I184" s="308">
        <f t="shared" ca="1" si="5"/>
        <v>240000</v>
      </c>
      <c r="J184" s="308">
        <f t="shared" ca="1" si="6"/>
        <v>0</v>
      </c>
      <c r="K184" s="309">
        <f t="shared" ca="1" si="7"/>
        <v>240000</v>
      </c>
      <c r="L184" s="289"/>
      <c r="M184" s="289"/>
      <c r="N184" s="316"/>
      <c r="O184" s="310"/>
      <c r="P184" s="310"/>
      <c r="Q184" s="291"/>
      <c r="R184" s="283"/>
      <c r="S184" s="311"/>
      <c r="T184" s="288"/>
      <c r="U184" s="288"/>
      <c r="V184" s="288"/>
    </row>
    <row r="185" spans="1:22" s="317" customFormat="1">
      <c r="A185" s="283"/>
      <c r="B185" s="717">
        <v>4</v>
      </c>
      <c r="C185" s="718" t="s">
        <v>214</v>
      </c>
      <c r="D185" s="305" t="str">
        <f ca="1">IF(ISERROR(OFFSET('HARGA SATUAN'!$D$6,MATCH(RAB!C185,'HARGA SATUAN'!$C$7:$C$1495,0),0)),"",OFFSET('HARGA SATUAN'!$D$6,MATCH(RAB!C185,'HARGA SATUAN'!$C$7:$C$1495,0),0))</f>
        <v>HDW</v>
      </c>
      <c r="E185" s="306" t="str">
        <f ca="1">IF(B185="+","Unit",IF(ISERROR(OFFSET('HARGA SATUAN'!$E$6,MATCH(RAB!C185,'HARGA SATUAN'!$C$7:$C$1495,0),0)),"",OFFSET('HARGA SATUAN'!$E$6,MATCH(RAB!C185,'HARGA SATUAN'!$C$7:$C$1495,0),0)))</f>
        <v>Bh</v>
      </c>
      <c r="F185" s="452">
        <f>F182*1</f>
        <v>2</v>
      </c>
      <c r="G185" s="307">
        <f ca="1">IF(ISERROR(OFFSET('HARGA SATUAN'!$I$6,MATCH(RAB!C185,'HARGA SATUAN'!$C$7:$C$1495,0),0)),0,OFFSET('HARGA SATUAN'!$I$6,MATCH(RAB!C185,'HARGA SATUAN'!$C$7:$C$1495,0),0))</f>
        <v>4500</v>
      </c>
      <c r="H185" s="308">
        <f t="shared" ca="1" si="4"/>
        <v>0</v>
      </c>
      <c r="I185" s="308">
        <f t="shared" ca="1" si="5"/>
        <v>9000</v>
      </c>
      <c r="J185" s="308">
        <f t="shared" ca="1" si="6"/>
        <v>0</v>
      </c>
      <c r="K185" s="309">
        <f t="shared" ca="1" si="7"/>
        <v>9000</v>
      </c>
      <c r="L185" s="289"/>
      <c r="M185" s="289"/>
      <c r="N185" s="316"/>
      <c r="O185" s="310"/>
      <c r="P185" s="310"/>
      <c r="Q185" s="291"/>
      <c r="R185" s="283"/>
      <c r="S185" s="311"/>
      <c r="T185" s="288"/>
      <c r="U185" s="288"/>
      <c r="V185" s="288"/>
    </row>
    <row r="186" spans="1:22" s="317" customFormat="1">
      <c r="A186" s="283"/>
      <c r="B186" s="717">
        <v>3</v>
      </c>
      <c r="C186" s="718" t="s">
        <v>767</v>
      </c>
      <c r="D186" s="305" t="str">
        <f ca="1">IF(ISERROR(OFFSET('HARGA SATUAN'!$D$6,MATCH(RAB!C186,'HARGA SATUAN'!$C$7:$C$1495,0),0)),"",OFFSET('HARGA SATUAN'!$D$6,MATCH(RAB!C186,'HARGA SATUAN'!$C$7:$C$1495,0),0))</f>
        <v>JASA</v>
      </c>
      <c r="E186" s="306" t="str">
        <f ca="1">IF(B186="+","Unit",IF(ISERROR(OFFSET('HARGA SATUAN'!$E$6,MATCH(RAB!C186,'HARGA SATUAN'!$C$7:$C$1495,0),0)),"",OFFSET('HARGA SATUAN'!$E$6,MATCH(RAB!C186,'HARGA SATUAN'!$C$7:$C$1495,0),0)))</f>
        <v>Unit</v>
      </c>
      <c r="F186" s="723">
        <f>F182*1</f>
        <v>2</v>
      </c>
      <c r="G186" s="307">
        <f ca="1">IF(ISERROR(OFFSET('HARGA SATUAN'!$I$6,MATCH(RAB!C186,'HARGA SATUAN'!$C$7:$C$1495,0),0)),0,OFFSET('HARGA SATUAN'!$I$6,MATCH(RAB!C186,'HARGA SATUAN'!$C$7:$C$1495,0),0))</f>
        <v>55500</v>
      </c>
      <c r="H186" s="308">
        <f t="shared" ca="1" si="4"/>
        <v>0</v>
      </c>
      <c r="I186" s="308">
        <f t="shared" ca="1" si="5"/>
        <v>0</v>
      </c>
      <c r="J186" s="308">
        <f t="shared" ca="1" si="6"/>
        <v>111000</v>
      </c>
      <c r="K186" s="309">
        <f t="shared" ca="1" si="7"/>
        <v>111000</v>
      </c>
      <c r="L186" s="289"/>
      <c r="M186" s="289"/>
      <c r="N186" s="316"/>
      <c r="O186" s="310"/>
      <c r="P186" s="310"/>
      <c r="Q186" s="291"/>
      <c r="R186" s="283"/>
      <c r="S186" s="311"/>
      <c r="T186" s="288"/>
      <c r="U186" s="288"/>
      <c r="V186" s="288"/>
    </row>
    <row r="187" spans="1:22" s="317" customFormat="1">
      <c r="A187" s="283"/>
      <c r="B187" s="421"/>
      <c r="C187" s="418"/>
      <c r="D187" s="305" t="str">
        <f ca="1">IF(ISERROR(OFFSET('HARGA SATUAN'!$D$6,MATCH(RAB!C187,'HARGA SATUAN'!$C$7:$C$1495,0),0)),"",OFFSET('HARGA SATUAN'!$D$6,MATCH(RAB!C187,'HARGA SATUAN'!$C$7:$C$1495,0),0))</f>
        <v/>
      </c>
      <c r="E187" s="306" t="str">
        <f ca="1">IF(B187="+","Unit",IF(ISERROR(OFFSET('HARGA SATUAN'!$E$6,MATCH(RAB!C187,'HARGA SATUAN'!$C$7:$C$1495,0),0)),"",OFFSET('HARGA SATUAN'!$E$6,MATCH(RAB!C187,'HARGA SATUAN'!$C$7:$C$1495,0),0)))</f>
        <v/>
      </c>
      <c r="F187" s="452"/>
      <c r="G187" s="307">
        <f ca="1">IF(ISERROR(OFFSET('HARGA SATUAN'!$I$6,MATCH(RAB!C187,'HARGA SATUAN'!$C$7:$C$1495,0),0)),0,OFFSET('HARGA SATUAN'!$I$6,MATCH(RAB!C187,'HARGA SATUAN'!$C$7:$C$1495,0),0))</f>
        <v>0</v>
      </c>
      <c r="H187" s="308">
        <f t="shared" ref="H187:H208" ca="1" si="9">IF(OR(D187="MDU",D187="MDU-KD"),(IF($O$3="RAB NON MDU","PLN KD",G187*F187)),0)</f>
        <v>0</v>
      </c>
      <c r="I187" s="308">
        <f t="shared" ref="I187:I208" ca="1" si="10">IF(D187="HDW",G187*F187,0)</f>
        <v>0</v>
      </c>
      <c r="J187" s="308">
        <f t="shared" ref="J187:J208" ca="1" si="11">IF(D187="JASA",G187*F187,0)</f>
        <v>0</v>
      </c>
      <c r="K187" s="309">
        <f t="shared" ref="K187:K208" ca="1" si="12">SUM(H187:J187)</f>
        <v>0</v>
      </c>
      <c r="L187" s="316"/>
      <c r="M187" s="289"/>
      <c r="N187" s="316"/>
      <c r="O187" s="310"/>
      <c r="P187" s="310"/>
      <c r="Q187" s="291"/>
      <c r="R187" s="283"/>
      <c r="S187" s="311"/>
      <c r="T187" s="288"/>
      <c r="U187" s="288"/>
      <c r="V187" s="288"/>
    </row>
    <row r="188" spans="1:22" s="317" customFormat="1" hidden="1">
      <c r="A188" s="283"/>
      <c r="B188" s="421">
        <v>10</v>
      </c>
      <c r="C188" s="418" t="s">
        <v>1615</v>
      </c>
      <c r="D188" s="305" t="str">
        <f ca="1">IF(ISERROR(OFFSET('HARGA SATUAN'!$D$6,MATCH(RAB!C188,'HARGA SATUAN'!$C$7:$C$1495,0),0)),"",OFFSET('HARGA SATUAN'!$D$6,MATCH(RAB!C188,'HARGA SATUAN'!$C$7:$C$1495,0),0))</f>
        <v>HDW</v>
      </c>
      <c r="E188" s="306" t="str">
        <f ca="1">IF(B188="+","Unit",IF(ISERROR(OFFSET('HARGA SATUAN'!$E$6,MATCH(RAB!C188,'HARGA SATUAN'!$C$7:$C$1495,0),0)),"",OFFSET('HARGA SATUAN'!$E$6,MATCH(RAB!C188,'HARGA SATUAN'!$C$7:$C$1495,0),0)))</f>
        <v>Bh</v>
      </c>
      <c r="F188" s="454"/>
      <c r="G188" s="307">
        <f ca="1">IF(ISERROR(OFFSET('HARGA SATUAN'!$I$6,MATCH(RAB!C188,'HARGA SATUAN'!$C$7:$C$1495,0),0)),0,OFFSET('HARGA SATUAN'!$I$6,MATCH(RAB!C188,'HARGA SATUAN'!$C$7:$C$1495,0),0))</f>
        <v>49000</v>
      </c>
      <c r="H188" s="308">
        <f t="shared" ca="1" si="9"/>
        <v>0</v>
      </c>
      <c r="I188" s="308">
        <f t="shared" ca="1" si="10"/>
        <v>0</v>
      </c>
      <c r="J188" s="308">
        <f t="shared" ca="1" si="11"/>
        <v>0</v>
      </c>
      <c r="K188" s="309">
        <f t="shared" ca="1" si="12"/>
        <v>0</v>
      </c>
      <c r="L188" s="316"/>
      <c r="M188" s="289" t="str">
        <f t="shared" ref="M188:M228" ca="1" si="13">IF(AND(F188&gt;0,F187=0),"",IF(AND(ISBLANK(F188)=FALSE,K188=0),"WARNING",""))</f>
        <v/>
      </c>
      <c r="N188" s="316"/>
      <c r="O188" s="310"/>
      <c r="P188" s="310"/>
      <c r="Q188" s="291"/>
      <c r="R188" s="283"/>
      <c r="S188" s="311"/>
      <c r="T188" s="288"/>
      <c r="U188" s="288"/>
      <c r="V188" s="288"/>
    </row>
    <row r="189" spans="1:22" s="317" customFormat="1" hidden="1">
      <c r="A189" s="283"/>
      <c r="B189" s="450"/>
      <c r="C189" s="451"/>
      <c r="D189" s="305" t="str">
        <f ca="1">IF(ISERROR(OFFSET('HARGA SATUAN'!$D$6,MATCH(RAB!C189,'HARGA SATUAN'!$C$7:$C$1495,0),0)),"",OFFSET('HARGA SATUAN'!$D$6,MATCH(RAB!C189,'HARGA SATUAN'!$C$7:$C$1495,0),0))</f>
        <v/>
      </c>
      <c r="E189" s="306" t="str">
        <f ca="1">IF(B189="+","Unit",IF(ISERROR(OFFSET('HARGA SATUAN'!$E$6,MATCH(RAB!C189,'HARGA SATUAN'!$C$7:$C$1495,0),0)),"",OFFSET('HARGA SATUAN'!$E$6,MATCH(RAB!C189,'HARGA SATUAN'!$C$7:$C$1495,0),0)))</f>
        <v/>
      </c>
      <c r="F189" s="454"/>
      <c r="G189" s="307">
        <f ca="1">IF(ISERROR(OFFSET('HARGA SATUAN'!$I$6,MATCH(RAB!C189,'HARGA SATUAN'!$C$7:$C$1495,0),0)),0,OFFSET('HARGA SATUAN'!$I$6,MATCH(RAB!C189,'HARGA SATUAN'!$C$7:$C$1495,0),0))</f>
        <v>0</v>
      </c>
      <c r="H189" s="308">
        <f t="shared" ca="1" si="9"/>
        <v>0</v>
      </c>
      <c r="I189" s="308">
        <f t="shared" ca="1" si="10"/>
        <v>0</v>
      </c>
      <c r="J189" s="308">
        <f t="shared" ca="1" si="11"/>
        <v>0</v>
      </c>
      <c r="K189" s="309">
        <f t="shared" ca="1" si="12"/>
        <v>0</v>
      </c>
      <c r="L189" s="316"/>
      <c r="M189" s="289" t="str">
        <f t="shared" ca="1" si="13"/>
        <v/>
      </c>
      <c r="N189" s="316"/>
      <c r="O189" s="310"/>
      <c r="P189" s="310"/>
      <c r="Q189" s="291"/>
      <c r="R189" s="283"/>
      <c r="S189" s="311"/>
      <c r="T189" s="288"/>
      <c r="U189" s="288"/>
      <c r="V189" s="288"/>
    </row>
    <row r="190" spans="1:22" s="317" customFormat="1" hidden="1">
      <c r="A190" s="283"/>
      <c r="B190" s="450"/>
      <c r="C190" s="451"/>
      <c r="D190" s="305" t="str">
        <f ca="1">IF(ISERROR(OFFSET('HARGA SATUAN'!$D$6,MATCH(RAB!C190,'HARGA SATUAN'!$C$7:$C$1495,0),0)),"",OFFSET('HARGA SATUAN'!$D$6,MATCH(RAB!C190,'HARGA SATUAN'!$C$7:$C$1495,0),0))</f>
        <v/>
      </c>
      <c r="E190" s="306" t="str">
        <f ca="1">IF(B190="+","Unit",IF(ISERROR(OFFSET('HARGA SATUAN'!$E$6,MATCH(RAB!C190,'HARGA SATUAN'!$C$7:$C$1495,0),0)),"",OFFSET('HARGA SATUAN'!$E$6,MATCH(RAB!C190,'HARGA SATUAN'!$C$7:$C$1495,0),0)))</f>
        <v/>
      </c>
      <c r="F190" s="454"/>
      <c r="G190" s="307">
        <f ca="1">IF(ISERROR(OFFSET('HARGA SATUAN'!$I$6,MATCH(RAB!C190,'HARGA SATUAN'!$C$7:$C$1495,0),0)),0,OFFSET('HARGA SATUAN'!$I$6,MATCH(RAB!C190,'HARGA SATUAN'!$C$7:$C$1495,0),0))</f>
        <v>0</v>
      </c>
      <c r="H190" s="308">
        <f t="shared" ca="1" si="9"/>
        <v>0</v>
      </c>
      <c r="I190" s="308">
        <f t="shared" ca="1" si="10"/>
        <v>0</v>
      </c>
      <c r="J190" s="308">
        <f t="shared" ca="1" si="11"/>
        <v>0</v>
      </c>
      <c r="K190" s="309">
        <f t="shared" ca="1" si="12"/>
        <v>0</v>
      </c>
      <c r="L190" s="316"/>
      <c r="M190" s="289" t="str">
        <f t="shared" ca="1" si="13"/>
        <v/>
      </c>
      <c r="N190" s="316"/>
      <c r="O190" s="310"/>
      <c r="P190" s="310"/>
      <c r="Q190" s="291"/>
      <c r="R190" s="283"/>
      <c r="S190" s="311"/>
      <c r="T190" s="288"/>
      <c r="U190" s="288"/>
      <c r="V190" s="288"/>
    </row>
    <row r="191" spans="1:22" s="317" customFormat="1" hidden="1">
      <c r="A191" s="283"/>
      <c r="B191" s="450"/>
      <c r="C191" s="451"/>
      <c r="D191" s="305" t="str">
        <f ca="1">IF(ISERROR(OFFSET('HARGA SATUAN'!$D$6,MATCH(RAB!C191,'HARGA SATUAN'!$C$7:$C$1495,0),0)),"",OFFSET('HARGA SATUAN'!$D$6,MATCH(RAB!C191,'HARGA SATUAN'!$C$7:$C$1495,0),0))</f>
        <v/>
      </c>
      <c r="E191" s="306" t="str">
        <f ca="1">IF(B191="+","Unit",IF(ISERROR(OFFSET('HARGA SATUAN'!$E$6,MATCH(RAB!C191,'HARGA SATUAN'!$C$7:$C$1495,0),0)),"",OFFSET('HARGA SATUAN'!$E$6,MATCH(RAB!C191,'HARGA SATUAN'!$C$7:$C$1495,0),0)))</f>
        <v/>
      </c>
      <c r="F191" s="454"/>
      <c r="G191" s="307">
        <f ca="1">IF(ISERROR(OFFSET('HARGA SATUAN'!$I$6,MATCH(RAB!C191,'HARGA SATUAN'!$C$7:$C$1495,0),0)),0,OFFSET('HARGA SATUAN'!$I$6,MATCH(RAB!C191,'HARGA SATUAN'!$C$7:$C$1495,0),0))</f>
        <v>0</v>
      </c>
      <c r="H191" s="308">
        <f t="shared" ca="1" si="9"/>
        <v>0</v>
      </c>
      <c r="I191" s="308">
        <f t="shared" ca="1" si="10"/>
        <v>0</v>
      </c>
      <c r="J191" s="308">
        <f t="shared" ca="1" si="11"/>
        <v>0</v>
      </c>
      <c r="K191" s="309">
        <f t="shared" ca="1" si="12"/>
        <v>0</v>
      </c>
      <c r="L191" s="316"/>
      <c r="M191" s="289" t="str">
        <f t="shared" ca="1" si="13"/>
        <v/>
      </c>
      <c r="N191" s="316"/>
      <c r="O191" s="310"/>
      <c r="P191" s="310"/>
      <c r="Q191" s="291"/>
      <c r="R191" s="283"/>
      <c r="S191" s="311"/>
      <c r="T191" s="288"/>
      <c r="U191" s="288"/>
      <c r="V191" s="288"/>
    </row>
    <row r="192" spans="1:22" s="317" customFormat="1" hidden="1">
      <c r="A192" s="283"/>
      <c r="B192" s="450"/>
      <c r="C192" s="451"/>
      <c r="D192" s="305" t="str">
        <f ca="1">IF(ISERROR(OFFSET('HARGA SATUAN'!$D$6,MATCH(RAB!C192,'HARGA SATUAN'!$C$7:$C$1495,0),0)),"",OFFSET('HARGA SATUAN'!$D$6,MATCH(RAB!C192,'HARGA SATUAN'!$C$7:$C$1495,0),0))</f>
        <v/>
      </c>
      <c r="E192" s="306" t="str">
        <f ca="1">IF(B192="+","Unit",IF(ISERROR(OFFSET('HARGA SATUAN'!$E$6,MATCH(RAB!C192,'HARGA SATUAN'!$C$7:$C$1495,0),0)),"",OFFSET('HARGA SATUAN'!$E$6,MATCH(RAB!C192,'HARGA SATUAN'!$C$7:$C$1495,0),0)))</f>
        <v/>
      </c>
      <c r="F192" s="454"/>
      <c r="G192" s="307">
        <f ca="1">IF(ISERROR(OFFSET('HARGA SATUAN'!$I$6,MATCH(RAB!C192,'HARGA SATUAN'!$C$7:$C$1495,0),0)),0,OFFSET('HARGA SATUAN'!$I$6,MATCH(RAB!C192,'HARGA SATUAN'!$C$7:$C$1495,0),0))</f>
        <v>0</v>
      </c>
      <c r="H192" s="308">
        <f t="shared" ca="1" si="9"/>
        <v>0</v>
      </c>
      <c r="I192" s="308">
        <f t="shared" ca="1" si="10"/>
        <v>0</v>
      </c>
      <c r="J192" s="308">
        <f t="shared" ca="1" si="11"/>
        <v>0</v>
      </c>
      <c r="K192" s="309">
        <f t="shared" ca="1" si="12"/>
        <v>0</v>
      </c>
      <c r="L192" s="316"/>
      <c r="M192" s="289" t="str">
        <f t="shared" ca="1" si="13"/>
        <v/>
      </c>
      <c r="N192" s="316"/>
      <c r="O192" s="310"/>
      <c r="P192" s="310"/>
      <c r="Q192" s="291"/>
      <c r="R192" s="283"/>
      <c r="S192" s="311"/>
      <c r="T192" s="288"/>
      <c r="U192" s="288"/>
      <c r="V192" s="288"/>
    </row>
    <row r="193" spans="1:22" s="317" customFormat="1" hidden="1">
      <c r="A193" s="283"/>
      <c r="B193" s="450"/>
      <c r="C193" s="451"/>
      <c r="D193" s="305" t="str">
        <f ca="1">IF(ISERROR(OFFSET('HARGA SATUAN'!$D$6,MATCH(RAB!C193,'HARGA SATUAN'!$C$7:$C$1495,0),0)),"",OFFSET('HARGA SATUAN'!$D$6,MATCH(RAB!C193,'HARGA SATUAN'!$C$7:$C$1495,0),0))</f>
        <v/>
      </c>
      <c r="E193" s="306" t="str">
        <f ca="1">IF(B193="+","Unit",IF(ISERROR(OFFSET('HARGA SATUAN'!$E$6,MATCH(RAB!C193,'HARGA SATUAN'!$C$7:$C$1495,0),0)),"",OFFSET('HARGA SATUAN'!$E$6,MATCH(RAB!C193,'HARGA SATUAN'!$C$7:$C$1495,0),0)))</f>
        <v/>
      </c>
      <c r="F193" s="454"/>
      <c r="G193" s="307">
        <f ca="1">IF(ISERROR(OFFSET('HARGA SATUAN'!$I$6,MATCH(RAB!C193,'HARGA SATUAN'!$C$7:$C$1495,0),0)),0,OFFSET('HARGA SATUAN'!$I$6,MATCH(RAB!C193,'HARGA SATUAN'!$C$7:$C$1495,0),0))</f>
        <v>0</v>
      </c>
      <c r="H193" s="308">
        <f t="shared" ca="1" si="9"/>
        <v>0</v>
      </c>
      <c r="I193" s="308">
        <f t="shared" ca="1" si="10"/>
        <v>0</v>
      </c>
      <c r="J193" s="308">
        <f t="shared" ca="1" si="11"/>
        <v>0</v>
      </c>
      <c r="K193" s="309">
        <f t="shared" ca="1" si="12"/>
        <v>0</v>
      </c>
      <c r="L193" s="316"/>
      <c r="M193" s="289" t="str">
        <f t="shared" ca="1" si="13"/>
        <v/>
      </c>
      <c r="N193" s="316"/>
      <c r="O193" s="310"/>
      <c r="P193" s="310"/>
      <c r="Q193" s="291"/>
      <c r="R193" s="283"/>
      <c r="S193" s="311"/>
      <c r="T193" s="288"/>
      <c r="U193" s="288"/>
      <c r="V193" s="288"/>
    </row>
    <row r="194" spans="1:22" s="317" customFormat="1" hidden="1">
      <c r="A194" s="283"/>
      <c r="B194" s="450"/>
      <c r="C194" s="451"/>
      <c r="D194" s="305" t="str">
        <f ca="1">IF(ISERROR(OFFSET('HARGA SATUAN'!$D$6,MATCH(RAB!C194,'HARGA SATUAN'!$C$7:$C$1495,0),0)),"",OFFSET('HARGA SATUAN'!$D$6,MATCH(RAB!C194,'HARGA SATUAN'!$C$7:$C$1495,0),0))</f>
        <v/>
      </c>
      <c r="E194" s="306" t="str">
        <f ca="1">IF(B194="+","Unit",IF(ISERROR(OFFSET('HARGA SATUAN'!$E$6,MATCH(RAB!C194,'HARGA SATUAN'!$C$7:$C$1495,0),0)),"",OFFSET('HARGA SATUAN'!$E$6,MATCH(RAB!C194,'HARGA SATUAN'!$C$7:$C$1495,0),0)))</f>
        <v/>
      </c>
      <c r="F194" s="454"/>
      <c r="G194" s="307">
        <f ca="1">IF(ISERROR(OFFSET('HARGA SATUAN'!$I$6,MATCH(RAB!C194,'HARGA SATUAN'!$C$7:$C$1495,0),0)),0,OFFSET('HARGA SATUAN'!$I$6,MATCH(RAB!C194,'HARGA SATUAN'!$C$7:$C$1495,0),0))</f>
        <v>0</v>
      </c>
      <c r="H194" s="308">
        <f t="shared" ca="1" si="9"/>
        <v>0</v>
      </c>
      <c r="I194" s="308">
        <f t="shared" ca="1" si="10"/>
        <v>0</v>
      </c>
      <c r="J194" s="308">
        <f t="shared" ca="1" si="11"/>
        <v>0</v>
      </c>
      <c r="K194" s="309">
        <f t="shared" ca="1" si="12"/>
        <v>0</v>
      </c>
      <c r="L194" s="316"/>
      <c r="M194" s="289" t="str">
        <f t="shared" ca="1" si="13"/>
        <v/>
      </c>
      <c r="N194" s="316"/>
      <c r="O194" s="310"/>
      <c r="P194" s="310"/>
      <c r="Q194" s="291"/>
      <c r="R194" s="283"/>
      <c r="S194" s="311"/>
      <c r="T194" s="288"/>
      <c r="U194" s="288"/>
      <c r="V194" s="288"/>
    </row>
    <row r="195" spans="1:22" s="317" customFormat="1" hidden="1">
      <c r="A195" s="283"/>
      <c r="B195" s="450"/>
      <c r="C195" s="451"/>
      <c r="D195" s="305" t="str">
        <f ca="1">IF(ISERROR(OFFSET('HARGA SATUAN'!$D$6,MATCH(RAB!C195,'HARGA SATUAN'!$C$7:$C$1495,0),0)),"",OFFSET('HARGA SATUAN'!$D$6,MATCH(RAB!C195,'HARGA SATUAN'!$C$7:$C$1495,0),0))</f>
        <v/>
      </c>
      <c r="E195" s="306" t="str">
        <f ca="1">IF(B195="+","Unit",IF(ISERROR(OFFSET('HARGA SATUAN'!$E$6,MATCH(RAB!C195,'HARGA SATUAN'!$C$7:$C$1495,0),0)),"",OFFSET('HARGA SATUAN'!$E$6,MATCH(RAB!C195,'HARGA SATUAN'!$C$7:$C$1495,0),0)))</f>
        <v/>
      </c>
      <c r="F195" s="454"/>
      <c r="G195" s="307">
        <f ca="1">IF(ISERROR(OFFSET('HARGA SATUAN'!$I$6,MATCH(RAB!C195,'HARGA SATUAN'!$C$7:$C$1495,0),0)),0,OFFSET('HARGA SATUAN'!$I$6,MATCH(RAB!C195,'HARGA SATUAN'!$C$7:$C$1495,0),0))</f>
        <v>0</v>
      </c>
      <c r="H195" s="308">
        <f t="shared" ca="1" si="9"/>
        <v>0</v>
      </c>
      <c r="I195" s="308">
        <f t="shared" ca="1" si="10"/>
        <v>0</v>
      </c>
      <c r="J195" s="308">
        <f t="shared" ca="1" si="11"/>
        <v>0</v>
      </c>
      <c r="K195" s="309">
        <f t="shared" ca="1" si="12"/>
        <v>0</v>
      </c>
      <c r="L195" s="316"/>
      <c r="M195" s="289" t="str">
        <f t="shared" ca="1" si="13"/>
        <v/>
      </c>
      <c r="N195" s="316"/>
      <c r="O195" s="310"/>
      <c r="P195" s="310"/>
      <c r="Q195" s="291"/>
      <c r="R195" s="283"/>
      <c r="S195" s="311"/>
      <c r="T195" s="288"/>
      <c r="U195" s="288"/>
      <c r="V195" s="288"/>
    </row>
    <row r="196" spans="1:22" s="317" customFormat="1" hidden="1">
      <c r="A196" s="283"/>
      <c r="B196" s="450"/>
      <c r="C196" s="451"/>
      <c r="D196" s="305" t="str">
        <f ca="1">IF(ISERROR(OFFSET('HARGA SATUAN'!$D$6,MATCH(RAB!C196,'HARGA SATUAN'!$C$7:$C$1495,0),0)),"",OFFSET('HARGA SATUAN'!$D$6,MATCH(RAB!C196,'HARGA SATUAN'!$C$7:$C$1495,0),0))</f>
        <v/>
      </c>
      <c r="E196" s="306" t="str">
        <f ca="1">IF(B196="+","Unit",IF(ISERROR(OFFSET('HARGA SATUAN'!$E$6,MATCH(RAB!C196,'HARGA SATUAN'!$C$7:$C$1495,0),0)),"",OFFSET('HARGA SATUAN'!$E$6,MATCH(RAB!C196,'HARGA SATUAN'!$C$7:$C$1495,0),0)))</f>
        <v/>
      </c>
      <c r="F196" s="454"/>
      <c r="G196" s="307">
        <f ca="1">IF(ISERROR(OFFSET('HARGA SATUAN'!$I$6,MATCH(RAB!C196,'HARGA SATUAN'!$C$7:$C$1495,0),0)),0,OFFSET('HARGA SATUAN'!$I$6,MATCH(RAB!C196,'HARGA SATUAN'!$C$7:$C$1495,0),0))</f>
        <v>0</v>
      </c>
      <c r="H196" s="308">
        <f t="shared" ca="1" si="9"/>
        <v>0</v>
      </c>
      <c r="I196" s="308">
        <f t="shared" ca="1" si="10"/>
        <v>0</v>
      </c>
      <c r="J196" s="308">
        <f t="shared" ca="1" si="11"/>
        <v>0</v>
      </c>
      <c r="K196" s="309">
        <f t="shared" ca="1" si="12"/>
        <v>0</v>
      </c>
      <c r="L196" s="316"/>
      <c r="M196" s="289" t="str">
        <f t="shared" ca="1" si="13"/>
        <v/>
      </c>
      <c r="N196" s="316"/>
      <c r="O196" s="310"/>
      <c r="P196" s="310"/>
      <c r="Q196" s="291"/>
      <c r="R196" s="283"/>
      <c r="S196" s="311"/>
      <c r="T196" s="288"/>
      <c r="U196" s="288"/>
      <c r="V196" s="288"/>
    </row>
    <row r="197" spans="1:22" s="317" customFormat="1" hidden="1">
      <c r="A197" s="283"/>
      <c r="B197" s="450"/>
      <c r="C197" s="451"/>
      <c r="D197" s="305" t="str">
        <f ca="1">IF(ISERROR(OFFSET('HARGA SATUAN'!$D$6,MATCH(RAB!C197,'HARGA SATUAN'!$C$7:$C$1495,0),0)),"",OFFSET('HARGA SATUAN'!$D$6,MATCH(RAB!C197,'HARGA SATUAN'!$C$7:$C$1495,0),0))</f>
        <v/>
      </c>
      <c r="E197" s="306" t="str">
        <f ca="1">IF(B197="+","Unit",IF(ISERROR(OFFSET('HARGA SATUAN'!$E$6,MATCH(RAB!C197,'HARGA SATUAN'!$C$7:$C$1495,0),0)),"",OFFSET('HARGA SATUAN'!$E$6,MATCH(RAB!C197,'HARGA SATUAN'!$C$7:$C$1495,0),0)))</f>
        <v/>
      </c>
      <c r="F197" s="454"/>
      <c r="G197" s="307">
        <f ca="1">IF(ISERROR(OFFSET('HARGA SATUAN'!$I$6,MATCH(RAB!C197,'HARGA SATUAN'!$C$7:$C$1495,0),0)),0,OFFSET('HARGA SATUAN'!$I$6,MATCH(RAB!C197,'HARGA SATUAN'!$C$7:$C$1495,0),0))</f>
        <v>0</v>
      </c>
      <c r="H197" s="308">
        <f t="shared" ca="1" si="9"/>
        <v>0</v>
      </c>
      <c r="I197" s="308">
        <f t="shared" ca="1" si="10"/>
        <v>0</v>
      </c>
      <c r="J197" s="308">
        <f t="shared" ca="1" si="11"/>
        <v>0</v>
      </c>
      <c r="K197" s="309">
        <f t="shared" ca="1" si="12"/>
        <v>0</v>
      </c>
      <c r="L197" s="316"/>
      <c r="M197" s="289" t="str">
        <f t="shared" ca="1" si="13"/>
        <v/>
      </c>
      <c r="N197" s="316"/>
      <c r="O197" s="310"/>
      <c r="P197" s="310"/>
      <c r="Q197" s="291"/>
      <c r="R197" s="283"/>
      <c r="S197" s="311"/>
      <c r="T197" s="288"/>
      <c r="U197" s="288"/>
      <c r="V197" s="288"/>
    </row>
    <row r="198" spans="1:22" s="317" customFormat="1" hidden="1">
      <c r="A198" s="283"/>
      <c r="B198" s="450"/>
      <c r="C198" s="451"/>
      <c r="D198" s="305" t="str">
        <f ca="1">IF(ISERROR(OFFSET('HARGA SATUAN'!$D$6,MATCH(RAB!C198,'HARGA SATUAN'!$C$7:$C$1495,0),0)),"",OFFSET('HARGA SATUAN'!$D$6,MATCH(RAB!C198,'HARGA SATUAN'!$C$7:$C$1495,0),0))</f>
        <v/>
      </c>
      <c r="E198" s="306" t="str">
        <f ca="1">IF(B198="+","Unit",IF(ISERROR(OFFSET('HARGA SATUAN'!$E$6,MATCH(RAB!C198,'HARGA SATUAN'!$C$7:$C$1495,0),0)),"",OFFSET('HARGA SATUAN'!$E$6,MATCH(RAB!C198,'HARGA SATUAN'!$C$7:$C$1495,0),0)))</f>
        <v/>
      </c>
      <c r="F198" s="454"/>
      <c r="G198" s="307">
        <f ca="1">IF(ISERROR(OFFSET('HARGA SATUAN'!$I$6,MATCH(RAB!C198,'HARGA SATUAN'!$C$7:$C$1495,0),0)),0,OFFSET('HARGA SATUAN'!$I$6,MATCH(RAB!C198,'HARGA SATUAN'!$C$7:$C$1495,0),0))</f>
        <v>0</v>
      </c>
      <c r="H198" s="308">
        <f t="shared" ca="1" si="9"/>
        <v>0</v>
      </c>
      <c r="I198" s="308">
        <f t="shared" ca="1" si="10"/>
        <v>0</v>
      </c>
      <c r="J198" s="308">
        <f t="shared" ca="1" si="11"/>
        <v>0</v>
      </c>
      <c r="K198" s="309">
        <f t="shared" ca="1" si="12"/>
        <v>0</v>
      </c>
      <c r="L198" s="316"/>
      <c r="M198" s="289" t="str">
        <f t="shared" ca="1" si="13"/>
        <v/>
      </c>
      <c r="N198" s="316"/>
      <c r="O198" s="310"/>
      <c r="P198" s="310"/>
      <c r="Q198" s="291"/>
      <c r="R198" s="283"/>
      <c r="S198" s="311"/>
      <c r="T198" s="288"/>
      <c r="U198" s="288"/>
      <c r="V198" s="288"/>
    </row>
    <row r="199" spans="1:22" s="317" customFormat="1" hidden="1">
      <c r="A199" s="283"/>
      <c r="B199" s="450"/>
      <c r="C199" s="451"/>
      <c r="D199" s="305" t="str">
        <f ca="1">IF(ISERROR(OFFSET('HARGA SATUAN'!$D$6,MATCH(RAB!C199,'HARGA SATUAN'!$C$7:$C$1495,0),0)),"",OFFSET('HARGA SATUAN'!$D$6,MATCH(RAB!C199,'HARGA SATUAN'!$C$7:$C$1495,0),0))</f>
        <v/>
      </c>
      <c r="E199" s="306" t="str">
        <f ca="1">IF(B199="+","Unit",IF(ISERROR(OFFSET('HARGA SATUAN'!$E$6,MATCH(RAB!C199,'HARGA SATUAN'!$C$7:$C$1495,0),0)),"",OFFSET('HARGA SATUAN'!$E$6,MATCH(RAB!C199,'HARGA SATUAN'!$C$7:$C$1495,0),0)))</f>
        <v/>
      </c>
      <c r="F199" s="454"/>
      <c r="G199" s="307">
        <f ca="1">IF(ISERROR(OFFSET('HARGA SATUAN'!$I$6,MATCH(RAB!C199,'HARGA SATUAN'!$C$7:$C$1495,0),0)),0,OFFSET('HARGA SATUAN'!$I$6,MATCH(RAB!C199,'HARGA SATUAN'!$C$7:$C$1495,0),0))</f>
        <v>0</v>
      </c>
      <c r="H199" s="308">
        <f t="shared" ca="1" si="9"/>
        <v>0</v>
      </c>
      <c r="I199" s="308">
        <f t="shared" ca="1" si="10"/>
        <v>0</v>
      </c>
      <c r="J199" s="308">
        <f t="shared" ca="1" si="11"/>
        <v>0</v>
      </c>
      <c r="K199" s="309">
        <f t="shared" ca="1" si="12"/>
        <v>0</v>
      </c>
      <c r="L199" s="316"/>
      <c r="M199" s="289" t="str">
        <f t="shared" ca="1" si="13"/>
        <v/>
      </c>
      <c r="N199" s="316"/>
      <c r="O199" s="310"/>
      <c r="P199" s="310"/>
      <c r="Q199" s="291"/>
      <c r="R199" s="283"/>
      <c r="S199" s="311"/>
      <c r="T199" s="288"/>
      <c r="U199" s="288"/>
      <c r="V199" s="288"/>
    </row>
    <row r="200" spans="1:22" s="317" customFormat="1" hidden="1">
      <c r="A200" s="283"/>
      <c r="B200" s="450"/>
      <c r="C200" s="451"/>
      <c r="D200" s="305" t="str">
        <f ca="1">IF(ISERROR(OFFSET('HARGA SATUAN'!$D$6,MATCH(RAB!C200,'HARGA SATUAN'!$C$7:$C$1495,0),0)),"",OFFSET('HARGA SATUAN'!$D$6,MATCH(RAB!C200,'HARGA SATUAN'!$C$7:$C$1495,0),0))</f>
        <v/>
      </c>
      <c r="E200" s="306" t="str">
        <f ca="1">IF(B200="+","Unit",IF(ISERROR(OFFSET('HARGA SATUAN'!$E$6,MATCH(RAB!C200,'HARGA SATUAN'!$C$7:$C$1495,0),0)),"",OFFSET('HARGA SATUAN'!$E$6,MATCH(RAB!C200,'HARGA SATUAN'!$C$7:$C$1495,0),0)))</f>
        <v/>
      </c>
      <c r="F200" s="454"/>
      <c r="G200" s="307">
        <f ca="1">IF(ISERROR(OFFSET('HARGA SATUAN'!$I$6,MATCH(RAB!C200,'HARGA SATUAN'!$C$7:$C$1495,0),0)),0,OFFSET('HARGA SATUAN'!$I$6,MATCH(RAB!C200,'HARGA SATUAN'!$C$7:$C$1495,0),0))</f>
        <v>0</v>
      </c>
      <c r="H200" s="308">
        <f t="shared" ca="1" si="9"/>
        <v>0</v>
      </c>
      <c r="I200" s="308">
        <f t="shared" ca="1" si="10"/>
        <v>0</v>
      </c>
      <c r="J200" s="308">
        <f t="shared" ca="1" si="11"/>
        <v>0</v>
      </c>
      <c r="K200" s="309">
        <f t="shared" ca="1" si="12"/>
        <v>0</v>
      </c>
      <c r="L200" s="316"/>
      <c r="M200" s="289" t="str">
        <f t="shared" ca="1" si="13"/>
        <v/>
      </c>
      <c r="N200" s="316"/>
      <c r="O200" s="310"/>
      <c r="P200" s="310"/>
      <c r="Q200" s="291"/>
      <c r="R200" s="283"/>
      <c r="S200" s="311"/>
      <c r="T200" s="288"/>
      <c r="U200" s="288"/>
      <c r="V200" s="288"/>
    </row>
    <row r="201" spans="1:22" s="317" customFormat="1" hidden="1">
      <c r="A201" s="283"/>
      <c r="B201" s="450"/>
      <c r="C201" s="451"/>
      <c r="D201" s="305" t="str">
        <f ca="1">IF(ISERROR(OFFSET('HARGA SATUAN'!$D$6,MATCH(RAB!C201,'HARGA SATUAN'!$C$7:$C$1495,0),0)),"",OFFSET('HARGA SATUAN'!$D$6,MATCH(RAB!C201,'HARGA SATUAN'!$C$7:$C$1495,0),0))</f>
        <v/>
      </c>
      <c r="E201" s="306" t="str">
        <f ca="1">IF(B201="+","Unit",IF(ISERROR(OFFSET('HARGA SATUAN'!$E$6,MATCH(RAB!C201,'HARGA SATUAN'!$C$7:$C$1495,0),0)),"",OFFSET('HARGA SATUAN'!$E$6,MATCH(RAB!C201,'HARGA SATUAN'!$C$7:$C$1495,0),0)))</f>
        <v/>
      </c>
      <c r="F201" s="454"/>
      <c r="G201" s="307">
        <f ca="1">IF(ISERROR(OFFSET('HARGA SATUAN'!$I$6,MATCH(RAB!C201,'HARGA SATUAN'!$C$7:$C$1495,0),0)),0,OFFSET('HARGA SATUAN'!$I$6,MATCH(RAB!C201,'HARGA SATUAN'!$C$7:$C$1495,0),0))</f>
        <v>0</v>
      </c>
      <c r="H201" s="308">
        <f t="shared" ca="1" si="9"/>
        <v>0</v>
      </c>
      <c r="I201" s="308">
        <f t="shared" ca="1" si="10"/>
        <v>0</v>
      </c>
      <c r="J201" s="308">
        <f t="shared" ca="1" si="11"/>
        <v>0</v>
      </c>
      <c r="K201" s="309">
        <f t="shared" ca="1" si="12"/>
        <v>0</v>
      </c>
      <c r="L201" s="316"/>
      <c r="M201" s="289" t="str">
        <f t="shared" ca="1" si="13"/>
        <v/>
      </c>
      <c r="N201" s="316"/>
      <c r="O201" s="310"/>
      <c r="P201" s="310"/>
      <c r="Q201" s="291"/>
      <c r="R201" s="283"/>
      <c r="S201" s="311"/>
      <c r="T201" s="288"/>
      <c r="U201" s="288"/>
      <c r="V201" s="288"/>
    </row>
    <row r="202" spans="1:22" s="317" customFormat="1" hidden="1">
      <c r="A202" s="283"/>
      <c r="B202" s="450"/>
      <c r="C202" s="451"/>
      <c r="D202" s="305" t="str">
        <f ca="1">IF(ISERROR(OFFSET('HARGA SATUAN'!$D$6,MATCH(RAB!C202,'HARGA SATUAN'!$C$7:$C$1495,0),0)),"",OFFSET('HARGA SATUAN'!$D$6,MATCH(RAB!C202,'HARGA SATUAN'!$C$7:$C$1495,0),0))</f>
        <v/>
      </c>
      <c r="E202" s="306" t="str">
        <f ca="1">IF(B202="+","Unit",IF(ISERROR(OFFSET('HARGA SATUAN'!$E$6,MATCH(RAB!C202,'HARGA SATUAN'!$C$7:$C$1495,0),0)),"",OFFSET('HARGA SATUAN'!$E$6,MATCH(RAB!C202,'HARGA SATUAN'!$C$7:$C$1495,0),0)))</f>
        <v/>
      </c>
      <c r="F202" s="454"/>
      <c r="G202" s="307">
        <f ca="1">IF(ISERROR(OFFSET('HARGA SATUAN'!$I$6,MATCH(RAB!C202,'HARGA SATUAN'!$C$7:$C$1495,0),0)),0,OFFSET('HARGA SATUAN'!$I$6,MATCH(RAB!C202,'HARGA SATUAN'!$C$7:$C$1495,0),0))</f>
        <v>0</v>
      </c>
      <c r="H202" s="308">
        <f t="shared" ca="1" si="9"/>
        <v>0</v>
      </c>
      <c r="I202" s="308">
        <f t="shared" ca="1" si="10"/>
        <v>0</v>
      </c>
      <c r="J202" s="308">
        <f t="shared" ca="1" si="11"/>
        <v>0</v>
      </c>
      <c r="K202" s="309">
        <f t="shared" ca="1" si="12"/>
        <v>0</v>
      </c>
      <c r="L202" s="316"/>
      <c r="M202" s="289" t="str">
        <f t="shared" ca="1" si="13"/>
        <v/>
      </c>
      <c r="N202" s="316"/>
      <c r="O202" s="310"/>
      <c r="P202" s="310"/>
      <c r="Q202" s="291"/>
      <c r="R202" s="283"/>
      <c r="S202" s="311"/>
      <c r="T202" s="288"/>
      <c r="U202" s="288"/>
      <c r="V202" s="288"/>
    </row>
    <row r="203" spans="1:22" s="317" customFormat="1" hidden="1">
      <c r="A203" s="283"/>
      <c r="B203" s="450"/>
      <c r="C203" s="451"/>
      <c r="D203" s="305" t="str">
        <f ca="1">IF(ISERROR(OFFSET('HARGA SATUAN'!$D$6,MATCH(RAB!C203,'HARGA SATUAN'!$C$7:$C$1495,0),0)),"",OFFSET('HARGA SATUAN'!$D$6,MATCH(RAB!C203,'HARGA SATUAN'!$C$7:$C$1495,0),0))</f>
        <v/>
      </c>
      <c r="E203" s="306" t="str">
        <f ca="1">IF(B203="+","Unit",IF(ISERROR(OFFSET('HARGA SATUAN'!$E$6,MATCH(RAB!C203,'HARGA SATUAN'!$C$7:$C$1495,0),0)),"",OFFSET('HARGA SATUAN'!$E$6,MATCH(RAB!C203,'HARGA SATUAN'!$C$7:$C$1495,0),0)))</f>
        <v/>
      </c>
      <c r="F203" s="454"/>
      <c r="G203" s="307">
        <f ca="1">IF(ISERROR(OFFSET('HARGA SATUAN'!$I$6,MATCH(RAB!C203,'HARGA SATUAN'!$C$7:$C$1495,0),0)),0,OFFSET('HARGA SATUAN'!$I$6,MATCH(RAB!C203,'HARGA SATUAN'!$C$7:$C$1495,0),0))</f>
        <v>0</v>
      </c>
      <c r="H203" s="308">
        <f t="shared" ca="1" si="9"/>
        <v>0</v>
      </c>
      <c r="I203" s="308">
        <f t="shared" ca="1" si="10"/>
        <v>0</v>
      </c>
      <c r="J203" s="308">
        <f t="shared" ca="1" si="11"/>
        <v>0</v>
      </c>
      <c r="K203" s="309">
        <f t="shared" ca="1" si="12"/>
        <v>0</v>
      </c>
      <c r="L203" s="316"/>
      <c r="M203" s="289" t="str">
        <f t="shared" ca="1" si="13"/>
        <v/>
      </c>
      <c r="N203" s="316"/>
      <c r="O203" s="310"/>
      <c r="P203" s="310"/>
      <c r="Q203" s="291"/>
      <c r="R203" s="283"/>
      <c r="S203" s="311"/>
      <c r="T203" s="288"/>
      <c r="U203" s="288"/>
      <c r="V203" s="288"/>
    </row>
    <row r="204" spans="1:22" s="317" customFormat="1" hidden="1">
      <c r="A204" s="283"/>
      <c r="B204" s="450"/>
      <c r="C204" s="451"/>
      <c r="D204" s="305" t="str">
        <f ca="1">IF(ISERROR(OFFSET('HARGA SATUAN'!$D$6,MATCH(RAB!C204,'HARGA SATUAN'!$C$7:$C$1495,0),0)),"",OFFSET('HARGA SATUAN'!$D$6,MATCH(RAB!C204,'HARGA SATUAN'!$C$7:$C$1495,0),0))</f>
        <v/>
      </c>
      <c r="E204" s="306" t="str">
        <f ca="1">IF(B204="+","Unit",IF(ISERROR(OFFSET('HARGA SATUAN'!$E$6,MATCH(RAB!C204,'HARGA SATUAN'!$C$7:$C$1495,0),0)),"",OFFSET('HARGA SATUAN'!$E$6,MATCH(RAB!C204,'HARGA SATUAN'!$C$7:$C$1495,0),0)))</f>
        <v/>
      </c>
      <c r="F204" s="454"/>
      <c r="G204" s="307">
        <f ca="1">IF(ISERROR(OFFSET('HARGA SATUAN'!$I$6,MATCH(RAB!C204,'HARGA SATUAN'!$C$7:$C$1495,0),0)),0,OFFSET('HARGA SATUAN'!$I$6,MATCH(RAB!C204,'HARGA SATUAN'!$C$7:$C$1495,0),0))</f>
        <v>0</v>
      </c>
      <c r="H204" s="308">
        <f t="shared" ca="1" si="9"/>
        <v>0</v>
      </c>
      <c r="I204" s="308">
        <f t="shared" ca="1" si="10"/>
        <v>0</v>
      </c>
      <c r="J204" s="308">
        <f t="shared" ca="1" si="11"/>
        <v>0</v>
      </c>
      <c r="K204" s="309">
        <f t="shared" ca="1" si="12"/>
        <v>0</v>
      </c>
      <c r="L204" s="316"/>
      <c r="M204" s="289" t="str">
        <f t="shared" ca="1" si="13"/>
        <v/>
      </c>
      <c r="N204" s="316"/>
      <c r="O204" s="310"/>
      <c r="P204" s="310"/>
      <c r="Q204" s="291"/>
      <c r="R204" s="283"/>
      <c r="S204" s="311"/>
      <c r="T204" s="288"/>
      <c r="U204" s="288"/>
      <c r="V204" s="288"/>
    </row>
    <row r="205" spans="1:22" s="317" customFormat="1" hidden="1">
      <c r="A205" s="283"/>
      <c r="B205" s="450"/>
      <c r="C205" s="451"/>
      <c r="D205" s="305" t="str">
        <f ca="1">IF(ISERROR(OFFSET('HARGA SATUAN'!$D$6,MATCH(RAB!C205,'HARGA SATUAN'!$C$7:$C$1495,0),0)),"",OFFSET('HARGA SATUAN'!$D$6,MATCH(RAB!C205,'HARGA SATUAN'!$C$7:$C$1495,0),0))</f>
        <v/>
      </c>
      <c r="E205" s="306" t="str">
        <f ca="1">IF(B205="+","Unit",IF(ISERROR(OFFSET('HARGA SATUAN'!$E$6,MATCH(RAB!C205,'HARGA SATUAN'!$C$7:$C$1495,0),0)),"",OFFSET('HARGA SATUAN'!$E$6,MATCH(RAB!C205,'HARGA SATUAN'!$C$7:$C$1495,0),0)))</f>
        <v/>
      </c>
      <c r="F205" s="454"/>
      <c r="G205" s="307">
        <f ca="1">IF(ISERROR(OFFSET('HARGA SATUAN'!$I$6,MATCH(RAB!C205,'HARGA SATUAN'!$C$7:$C$1495,0),0)),0,OFFSET('HARGA SATUAN'!$I$6,MATCH(RAB!C205,'HARGA SATUAN'!$C$7:$C$1495,0),0))</f>
        <v>0</v>
      </c>
      <c r="H205" s="308">
        <f t="shared" ca="1" si="9"/>
        <v>0</v>
      </c>
      <c r="I205" s="308">
        <f t="shared" ca="1" si="10"/>
        <v>0</v>
      </c>
      <c r="J205" s="308">
        <f t="shared" ca="1" si="11"/>
        <v>0</v>
      </c>
      <c r="K205" s="309">
        <f t="shared" ca="1" si="12"/>
        <v>0</v>
      </c>
      <c r="L205" s="316"/>
      <c r="M205" s="289" t="str">
        <f t="shared" ca="1" si="13"/>
        <v/>
      </c>
      <c r="N205" s="316"/>
      <c r="O205" s="310"/>
      <c r="P205" s="310"/>
      <c r="Q205" s="291"/>
      <c r="R205" s="283"/>
      <c r="S205" s="311"/>
      <c r="T205" s="288"/>
      <c r="U205" s="288"/>
      <c r="V205" s="288"/>
    </row>
    <row r="206" spans="1:22" s="317" customFormat="1" hidden="1">
      <c r="A206" s="283"/>
      <c r="B206" s="450"/>
      <c r="C206" s="451"/>
      <c r="D206" s="305" t="str">
        <f ca="1">IF(ISERROR(OFFSET('HARGA SATUAN'!$D$6,MATCH(RAB!C206,'HARGA SATUAN'!$C$7:$C$1495,0),0)),"",OFFSET('HARGA SATUAN'!$D$6,MATCH(RAB!C206,'HARGA SATUAN'!$C$7:$C$1495,0),0))</f>
        <v/>
      </c>
      <c r="E206" s="306" t="str">
        <f ca="1">IF(B206="+","Unit",IF(ISERROR(OFFSET('HARGA SATUAN'!$E$6,MATCH(RAB!C206,'HARGA SATUAN'!$C$7:$C$1495,0),0)),"",OFFSET('HARGA SATUAN'!$E$6,MATCH(RAB!C206,'HARGA SATUAN'!$C$7:$C$1495,0),0)))</f>
        <v/>
      </c>
      <c r="F206" s="454"/>
      <c r="G206" s="307">
        <f ca="1">IF(ISERROR(OFFSET('HARGA SATUAN'!$I$6,MATCH(RAB!C206,'HARGA SATUAN'!$C$7:$C$1495,0),0)),0,OFFSET('HARGA SATUAN'!$I$6,MATCH(RAB!C206,'HARGA SATUAN'!$C$7:$C$1495,0),0))</f>
        <v>0</v>
      </c>
      <c r="H206" s="308">
        <f t="shared" ca="1" si="9"/>
        <v>0</v>
      </c>
      <c r="I206" s="308">
        <f t="shared" ca="1" si="10"/>
        <v>0</v>
      </c>
      <c r="J206" s="308">
        <f t="shared" ca="1" si="11"/>
        <v>0</v>
      </c>
      <c r="K206" s="309">
        <f t="shared" ca="1" si="12"/>
        <v>0</v>
      </c>
      <c r="L206" s="316"/>
      <c r="M206" s="289" t="str">
        <f t="shared" ca="1" si="13"/>
        <v/>
      </c>
      <c r="N206" s="316"/>
      <c r="O206" s="310"/>
      <c r="P206" s="310"/>
      <c r="Q206" s="291"/>
      <c r="R206" s="283"/>
      <c r="S206" s="311"/>
      <c r="T206" s="288"/>
      <c r="U206" s="288"/>
      <c r="V206" s="288"/>
    </row>
    <row r="207" spans="1:22" s="317" customFormat="1" hidden="1">
      <c r="A207" s="283"/>
      <c r="B207" s="450"/>
      <c r="C207" s="451"/>
      <c r="D207" s="305" t="str">
        <f ca="1">IF(ISERROR(OFFSET('HARGA SATUAN'!$D$6,MATCH(RAB!C207,'HARGA SATUAN'!$C$7:$C$1495,0),0)),"",OFFSET('HARGA SATUAN'!$D$6,MATCH(RAB!C207,'HARGA SATUAN'!$C$7:$C$1495,0),0))</f>
        <v/>
      </c>
      <c r="E207" s="306" t="str">
        <f ca="1">IF(B207="+","Unit",IF(ISERROR(OFFSET('HARGA SATUAN'!$E$6,MATCH(RAB!C207,'HARGA SATUAN'!$C$7:$C$1495,0),0)),"",OFFSET('HARGA SATUAN'!$E$6,MATCH(RAB!C207,'HARGA SATUAN'!$C$7:$C$1495,0),0)))</f>
        <v/>
      </c>
      <c r="F207" s="454"/>
      <c r="G207" s="307">
        <f ca="1">IF(ISERROR(OFFSET('HARGA SATUAN'!$I$6,MATCH(RAB!C207,'HARGA SATUAN'!$C$7:$C$1495,0),0)),0,OFFSET('HARGA SATUAN'!$I$6,MATCH(RAB!C207,'HARGA SATUAN'!$C$7:$C$1495,0),0))</f>
        <v>0</v>
      </c>
      <c r="H207" s="308">
        <f t="shared" ca="1" si="9"/>
        <v>0</v>
      </c>
      <c r="I207" s="308">
        <f t="shared" ca="1" si="10"/>
        <v>0</v>
      </c>
      <c r="J207" s="308">
        <f t="shared" ca="1" si="11"/>
        <v>0</v>
      </c>
      <c r="K207" s="309">
        <f t="shared" ca="1" si="12"/>
        <v>0</v>
      </c>
      <c r="L207" s="316"/>
      <c r="M207" s="289" t="str">
        <f t="shared" ca="1" si="13"/>
        <v/>
      </c>
      <c r="N207" s="316"/>
      <c r="O207" s="310"/>
      <c r="P207" s="310"/>
      <c r="Q207" s="291"/>
      <c r="R207" s="283"/>
      <c r="S207" s="311"/>
      <c r="T207" s="288"/>
      <c r="U207" s="288"/>
      <c r="V207" s="288"/>
    </row>
    <row r="208" spans="1:22" s="317" customFormat="1" hidden="1">
      <c r="A208" s="283"/>
      <c r="B208" s="450"/>
      <c r="C208" s="451"/>
      <c r="D208" s="305" t="str">
        <f ca="1">IF(ISERROR(OFFSET('HARGA SATUAN'!$D$6,MATCH(RAB!C208,'HARGA SATUAN'!$C$7:$C$1495,0),0)),"",OFFSET('HARGA SATUAN'!$D$6,MATCH(RAB!C208,'HARGA SATUAN'!$C$7:$C$1495,0),0))</f>
        <v/>
      </c>
      <c r="E208" s="306" t="str">
        <f ca="1">IF(B208="+","Unit",IF(ISERROR(OFFSET('HARGA SATUAN'!$E$6,MATCH(RAB!C208,'HARGA SATUAN'!$C$7:$C$1495,0),0)),"",OFFSET('HARGA SATUAN'!$E$6,MATCH(RAB!C208,'HARGA SATUAN'!$C$7:$C$1495,0),0)))</f>
        <v/>
      </c>
      <c r="F208" s="454"/>
      <c r="G208" s="307">
        <f ca="1">IF(ISERROR(OFFSET('HARGA SATUAN'!$I$6,MATCH(RAB!C208,'HARGA SATUAN'!$C$7:$C$1495,0),0)),0,OFFSET('HARGA SATUAN'!$I$6,MATCH(RAB!C208,'HARGA SATUAN'!$C$7:$C$1495,0),0))</f>
        <v>0</v>
      </c>
      <c r="H208" s="308">
        <f t="shared" ca="1" si="9"/>
        <v>0</v>
      </c>
      <c r="I208" s="308">
        <f t="shared" ca="1" si="10"/>
        <v>0</v>
      </c>
      <c r="J208" s="308">
        <f t="shared" ca="1" si="11"/>
        <v>0</v>
      </c>
      <c r="K208" s="309">
        <f t="shared" ca="1" si="12"/>
        <v>0</v>
      </c>
      <c r="L208" s="316"/>
      <c r="M208" s="289" t="str">
        <f t="shared" ca="1" si="13"/>
        <v/>
      </c>
      <c r="N208" s="316"/>
      <c r="O208" s="310"/>
      <c r="P208" s="310"/>
      <c r="Q208" s="291"/>
      <c r="R208" s="283"/>
      <c r="S208" s="311"/>
      <c r="T208" s="288"/>
      <c r="U208" s="288"/>
      <c r="V208" s="288"/>
    </row>
    <row r="209" spans="1:22" s="317" customFormat="1">
      <c r="A209" s="283"/>
      <c r="B209" s="419" t="s">
        <v>1602</v>
      </c>
      <c r="C209" s="422" t="s">
        <v>1604</v>
      </c>
      <c r="D209" s="305" t="str">
        <f ca="1">IF(ISERROR(OFFSET('HARGA SATUAN'!$D$6,MATCH(RAB!C209,'HARGA SATUAN'!$C$7:$C$1495,0),0)),"",OFFSET('HARGA SATUAN'!$D$6,MATCH(RAB!C209,'HARGA SATUAN'!$C$7:$C$1495,0),0))</f>
        <v/>
      </c>
      <c r="E209" s="306" t="str">
        <f ca="1">IF(B209="+","Unit",IF(ISERROR(OFFSET('HARGA SATUAN'!$E$6,MATCH(RAB!C209,'HARGA SATUAN'!$C$7:$C$1495,0),0)),"",OFFSET('HARGA SATUAN'!$E$6,MATCH(RAB!C209,'HARGA SATUAN'!$C$7:$C$1495,0),0)))</f>
        <v/>
      </c>
      <c r="F209" s="455"/>
      <c r="G209" s="307">
        <f ca="1">IF(ISERROR(OFFSET('HARGA SATUAN'!$I$6,MATCH(RAB!C209,'HARGA SATUAN'!$C$7:$C$1495,0),0)),0,OFFSET('HARGA SATUAN'!$I$6,MATCH(RAB!C209,'HARGA SATUAN'!$C$7:$C$1495,0),0))</f>
        <v>0</v>
      </c>
      <c r="H209" s="308">
        <f t="shared" ref="H209:H210" ca="1" si="14">IF(OR(D209="MDU",D209="MDU-KD"),(IF($O$3="RAB NON MDU","PLN KD",G209*F209)),0)</f>
        <v>0</v>
      </c>
      <c r="I209" s="308">
        <f t="shared" ref="I209:I210" ca="1" si="15">IF(D209="HDW",G209*F209,0)</f>
        <v>0</v>
      </c>
      <c r="J209" s="308">
        <f t="shared" ref="J209:J210" ca="1" si="16">IF(D209="JASA",G209*F209,0)</f>
        <v>0</v>
      </c>
      <c r="K209" s="309">
        <f t="shared" ref="K209:K210" ca="1" si="17">SUM(H209:J209)</f>
        <v>0</v>
      </c>
      <c r="L209" s="316"/>
      <c r="M209" s="289" t="str">
        <f t="shared" ca="1" si="13"/>
        <v/>
      </c>
      <c r="N209" s="316"/>
      <c r="O209" s="310"/>
      <c r="P209" s="310"/>
      <c r="Q209" s="291"/>
      <c r="R209" s="283"/>
      <c r="S209" s="311"/>
      <c r="T209" s="288"/>
      <c r="U209" s="288"/>
      <c r="V209" s="288"/>
    </row>
    <row r="210" spans="1:22" s="317" customFormat="1">
      <c r="A210" s="283"/>
      <c r="B210" s="318">
        <v>1</v>
      </c>
      <c r="C210" s="109" t="s">
        <v>1457</v>
      </c>
      <c r="D210" s="305" t="str">
        <f ca="1">IF(ISERROR(OFFSET('HARGA SATUAN'!$D$6,MATCH(RAB!C210,'HARGA SATUAN'!$C$7:$C$1495,0),0)),"",OFFSET('HARGA SATUAN'!$D$6,MATCH(RAB!C210,'HARGA SATUAN'!$C$7:$C$1495,0),0))</f>
        <v>MDU-KD</v>
      </c>
      <c r="E210" s="306" t="str">
        <f ca="1">IF(B210="+","Unit",IF(ISERROR(OFFSET('HARGA SATUAN'!$E$6,MATCH(RAB!C210,'HARGA SATUAN'!$C$7:$C$1495,0),0)),"",OFFSET('HARGA SATUAN'!$E$6,MATCH(RAB!C210,'HARGA SATUAN'!$C$7:$C$1495,0),0)))</f>
        <v>Mtr</v>
      </c>
      <c r="F210" s="420">
        <v>530</v>
      </c>
      <c r="G210" s="307">
        <f ca="1">IF(ISERROR(OFFSET('HARGA SATUAN'!$I$6,MATCH(RAB!C210,'HARGA SATUAN'!$C$7:$C$1495,0),0)),0,OFFSET('HARGA SATUAN'!$I$6,MATCH(RAB!C210,'HARGA SATUAN'!$C$7:$C$1495,0),0))</f>
        <v>54500</v>
      </c>
      <c r="H210" s="308">
        <f t="shared" ca="1" si="14"/>
        <v>28885000</v>
      </c>
      <c r="I210" s="308">
        <f t="shared" ca="1" si="15"/>
        <v>0</v>
      </c>
      <c r="J210" s="308">
        <f t="shared" ca="1" si="16"/>
        <v>0</v>
      </c>
      <c r="K210" s="309">
        <f t="shared" ca="1" si="17"/>
        <v>28885000</v>
      </c>
      <c r="L210" s="316"/>
      <c r="M210" s="289" t="str">
        <f t="shared" si="13"/>
        <v/>
      </c>
      <c r="N210" s="316"/>
      <c r="O210" s="310"/>
      <c r="P210" s="310"/>
      <c r="Q210" s="291"/>
      <c r="R210" s="283"/>
      <c r="S210" s="311"/>
      <c r="T210" s="288"/>
      <c r="U210" s="288"/>
      <c r="V210" s="288"/>
    </row>
    <row r="211" spans="1:22" s="317" customFormat="1">
      <c r="A211" s="283"/>
      <c r="B211" s="318">
        <v>2</v>
      </c>
      <c r="C211" s="109" t="s">
        <v>346</v>
      </c>
      <c r="D211" s="305" t="str">
        <f ca="1">IF(ISERROR(OFFSET('HARGA SATUAN'!$D$6,MATCH(RAB!C211,'HARGA SATUAN'!$C$7:$C$1495,0),0)),"",OFFSET('HARGA SATUAN'!$D$6,MATCH(RAB!C211,'HARGA SATUAN'!$C$7:$C$1495,0),0))</f>
        <v>JASA</v>
      </c>
      <c r="E211" s="306" t="str">
        <f ca="1">IF(B211="+","Unit",IF(ISERROR(OFFSET('HARGA SATUAN'!$E$6,MATCH(RAB!C211,'HARGA SATUAN'!$C$7:$C$1495,0),0)),"",OFFSET('HARGA SATUAN'!$E$6,MATCH(RAB!C211,'HARGA SATUAN'!$C$7:$C$1495,0),0)))</f>
        <v>Per 50 m</v>
      </c>
      <c r="F211" s="420">
        <v>10.6</v>
      </c>
      <c r="G211" s="307">
        <f ca="1">IF(ISERROR(OFFSET('HARGA SATUAN'!$I$6,MATCH(RAB!C211,'HARGA SATUAN'!$C$7:$C$1495,0),0)),0,OFFSET('HARGA SATUAN'!$I$6,MATCH(RAB!C211,'HARGA SATUAN'!$C$7:$C$1495,0),0))</f>
        <v>223500</v>
      </c>
      <c r="H211" s="308">
        <f t="shared" ref="H211:H213" ca="1" si="18">IF(OR(D211="MDU",D211="MDU-KD"),(IF($O$3="RAB NON MDU","PLN KD",G211*F211)),0)</f>
        <v>0</v>
      </c>
      <c r="I211" s="308">
        <f t="shared" ref="I211:I213" ca="1" si="19">IF(D211="HDW",G211*F211,0)</f>
        <v>0</v>
      </c>
      <c r="J211" s="308">
        <f t="shared" ref="J211:J213" ca="1" si="20">IF(D211="JASA",G211*F211,0)</f>
        <v>2369100</v>
      </c>
      <c r="K211" s="309">
        <f t="shared" ref="K211:K213" ca="1" si="21">SUM(H211:J211)</f>
        <v>2369100</v>
      </c>
      <c r="L211" s="316"/>
      <c r="M211" s="289" t="str">
        <f t="shared" ca="1" si="13"/>
        <v/>
      </c>
      <c r="N211" s="316"/>
      <c r="O211" s="310"/>
      <c r="P211" s="310"/>
      <c r="Q211" s="291"/>
      <c r="R211" s="283"/>
      <c r="S211" s="311"/>
      <c r="T211" s="288"/>
      <c r="U211" s="288"/>
      <c r="V211" s="288"/>
    </row>
    <row r="212" spans="1:22" s="317" customFormat="1">
      <c r="A212" s="283"/>
      <c r="B212" s="318">
        <v>3</v>
      </c>
      <c r="C212" s="109" t="s">
        <v>65</v>
      </c>
      <c r="D212" s="305" t="str">
        <f ca="1">IF(ISERROR(OFFSET('HARGA SATUAN'!$D$6,MATCH(RAB!C212,'HARGA SATUAN'!$C$7:$C$1495,0),0)),"",OFFSET('HARGA SATUAN'!$D$6,MATCH(RAB!C212,'HARGA SATUAN'!$C$7:$C$1495,0),0))</f>
        <v>MDU-KD</v>
      </c>
      <c r="E212" s="306" t="str">
        <f ca="1">IF(B212="+","Unit",IF(ISERROR(OFFSET('HARGA SATUAN'!$E$6,MATCH(RAB!C212,'HARGA SATUAN'!$C$7:$C$1495,0),0)),"",OFFSET('HARGA SATUAN'!$E$6,MATCH(RAB!C212,'HARGA SATUAN'!$C$7:$C$1495,0),0)))</f>
        <v>Mtr</v>
      </c>
      <c r="F212" s="420">
        <v>2880</v>
      </c>
      <c r="G212" s="307">
        <f ca="1">IF(ISERROR(OFFSET('HARGA SATUAN'!$I$6,MATCH(RAB!C212,'HARGA SATUAN'!$C$7:$C$1495,0),0)),0,OFFSET('HARGA SATUAN'!$I$6,MATCH(RAB!C212,'HARGA SATUAN'!$C$7:$C$1495,0),0))</f>
        <v>14200</v>
      </c>
      <c r="H212" s="308">
        <f t="shared" ca="1" si="18"/>
        <v>40896000</v>
      </c>
      <c r="I212" s="308">
        <f t="shared" ca="1" si="19"/>
        <v>0</v>
      </c>
      <c r="J212" s="308">
        <f t="shared" ca="1" si="20"/>
        <v>0</v>
      </c>
      <c r="K212" s="309">
        <f t="shared" ca="1" si="21"/>
        <v>40896000</v>
      </c>
      <c r="L212" s="316"/>
      <c r="M212" s="289"/>
      <c r="N212" s="316"/>
      <c r="O212" s="310"/>
      <c r="P212" s="310"/>
      <c r="Q212" s="291"/>
      <c r="R212" s="283"/>
      <c r="S212" s="311"/>
      <c r="T212" s="288"/>
      <c r="U212" s="288"/>
      <c r="V212" s="288"/>
    </row>
    <row r="213" spans="1:22" s="317" customFormat="1">
      <c r="A213" s="283"/>
      <c r="B213" s="318">
        <v>4</v>
      </c>
      <c r="C213" s="109" t="s">
        <v>301</v>
      </c>
      <c r="D213" s="305" t="str">
        <f ca="1">IF(ISERROR(OFFSET('HARGA SATUAN'!$D$6,MATCH(RAB!C213,'HARGA SATUAN'!$C$7:$C$1495,0),0)),"",OFFSET('HARGA SATUAN'!$D$6,MATCH(RAB!C213,'HARGA SATUAN'!$C$7:$C$1495,0),0))</f>
        <v>JASA</v>
      </c>
      <c r="E213" s="306" t="str">
        <f ca="1">IF(B213="+","Unit",IF(ISERROR(OFFSET('HARGA SATUAN'!$E$6,MATCH(RAB!C213,'HARGA SATUAN'!$C$7:$C$1495,0),0)),"",OFFSET('HARGA SATUAN'!$E$6,MATCH(RAB!C213,'HARGA SATUAN'!$C$7:$C$1495,0),0)))</f>
        <v>Per 50 m</v>
      </c>
      <c r="F213" s="420">
        <v>57.6</v>
      </c>
      <c r="G213" s="307">
        <f ca="1">IF(ISERROR(OFFSET('HARGA SATUAN'!$I$6,MATCH(RAB!C213,'HARGA SATUAN'!$C$7:$C$1495,0),0)),0,OFFSET('HARGA SATUAN'!$I$6,MATCH(RAB!C213,'HARGA SATUAN'!$C$7:$C$1495,0),0))</f>
        <v>300100</v>
      </c>
      <c r="H213" s="308">
        <f t="shared" ca="1" si="18"/>
        <v>0</v>
      </c>
      <c r="I213" s="308">
        <f t="shared" ca="1" si="19"/>
        <v>0</v>
      </c>
      <c r="J213" s="308">
        <f t="shared" ca="1" si="20"/>
        <v>17285760</v>
      </c>
      <c r="K213" s="309">
        <f t="shared" ca="1" si="21"/>
        <v>17285760</v>
      </c>
      <c r="L213" s="316"/>
      <c r="M213" s="289"/>
      <c r="N213" s="316"/>
      <c r="O213" s="310"/>
      <c r="P213" s="310"/>
      <c r="Q213" s="291"/>
      <c r="R213" s="283"/>
      <c r="S213" s="311"/>
      <c r="T213" s="288"/>
      <c r="U213" s="288"/>
      <c r="V213" s="288"/>
    </row>
    <row r="214" spans="1:22" s="317" customFormat="1">
      <c r="A214" s="283"/>
      <c r="B214" s="318"/>
      <c r="C214" s="319"/>
      <c r="D214" s="305" t="str">
        <f ca="1">IF(ISERROR(OFFSET('HARGA SATUAN'!$D$6,MATCH(RAB!C214,'HARGA SATUAN'!$C$7:$C$1495,0),0)),"",OFFSET('HARGA SATUAN'!$D$6,MATCH(RAB!C214,'HARGA SATUAN'!$C$7:$C$1495,0),0))</f>
        <v/>
      </c>
      <c r="E214" s="306" t="str">
        <f ca="1">IF(B214="+","Unit",IF(ISERROR(OFFSET('HARGA SATUAN'!$E$6,MATCH(RAB!C214,'HARGA SATUAN'!$C$7:$C$1495,0),0)),"",OFFSET('HARGA SATUAN'!$E$6,MATCH(RAB!C214,'HARGA SATUAN'!$C$7:$C$1495,0),0)))</f>
        <v/>
      </c>
      <c r="F214" s="420"/>
      <c r="G214" s="307">
        <f ca="1">IF(ISERROR(OFFSET('HARGA SATUAN'!$I$6,MATCH(RAB!C214,'HARGA SATUAN'!$C$7:$C$1495,0),0)),0,OFFSET('HARGA SATUAN'!$I$6,MATCH(RAB!C214,'HARGA SATUAN'!$C$7:$C$1495,0),0))</f>
        <v>0</v>
      </c>
      <c r="H214" s="308">
        <f t="shared" ref="H214:H237" ca="1" si="22">IF(OR(D214="MDU",D214="MDU-KD"),(IF($O$3="RAB NON MDU","PLN KD",G214*F214)),0)</f>
        <v>0</v>
      </c>
      <c r="I214" s="308">
        <f t="shared" ref="I214:I237" ca="1" si="23">IF(D214="HDW",G214*F214,0)</f>
        <v>0</v>
      </c>
      <c r="J214" s="308">
        <f t="shared" ref="J214:J237" ca="1" si="24">IF(D214="JASA",G214*F214,0)</f>
        <v>0</v>
      </c>
      <c r="K214" s="309">
        <f t="shared" ref="K214:K237" ca="1" si="25">SUM(H214:J214)</f>
        <v>0</v>
      </c>
      <c r="L214" s="316"/>
      <c r="M214" s="289"/>
      <c r="N214" s="316"/>
      <c r="O214" s="310"/>
      <c r="P214" s="310"/>
      <c r="Q214" s="291"/>
      <c r="R214" s="283"/>
      <c r="S214" s="311"/>
      <c r="T214" s="288"/>
      <c r="U214" s="288"/>
      <c r="V214" s="288"/>
    </row>
    <row r="215" spans="1:22" s="317" customFormat="1">
      <c r="A215" s="283"/>
      <c r="B215" s="419" t="s">
        <v>1610</v>
      </c>
      <c r="C215" s="422" t="s">
        <v>1606</v>
      </c>
      <c r="D215" s="305" t="str">
        <f ca="1">IF(ISERROR(OFFSET('HARGA SATUAN'!$D$6,MATCH(RAB!C215,'HARGA SATUAN'!$C$7:$C$1495,0),0)),"",OFFSET('HARGA SATUAN'!$D$6,MATCH(RAB!C215,'HARGA SATUAN'!$C$7:$C$1495,0),0))</f>
        <v/>
      </c>
      <c r="E215" s="306" t="str">
        <f ca="1">IF(B215="+","Unit",IF(ISERROR(OFFSET('HARGA SATUAN'!$E$6,MATCH(RAB!C215,'HARGA SATUAN'!$C$7:$C$1495,0),0)),"",OFFSET('HARGA SATUAN'!$E$6,MATCH(RAB!C215,'HARGA SATUAN'!$C$7:$C$1495,0),0)))</f>
        <v/>
      </c>
      <c r="F215" s="456"/>
      <c r="G215" s="307">
        <f ca="1">IF(ISERROR(OFFSET('HARGA SATUAN'!$I$6,MATCH(RAB!C215,'HARGA SATUAN'!$C$7:$C$1495,0),0)),0,OFFSET('HARGA SATUAN'!$I$6,MATCH(RAB!C215,'HARGA SATUAN'!$C$7:$C$1495,0),0))</f>
        <v>0</v>
      </c>
      <c r="H215" s="308">
        <f t="shared" ref="H215:H236" ca="1" si="26">IF(OR(D215="MDU",D215="MDU-KD"),(IF($O$3="RAB NON MDU","PLN KD",G215*F215)),0)</f>
        <v>0</v>
      </c>
      <c r="I215" s="308">
        <f t="shared" ref="I215:I236" ca="1" si="27">IF(D215="HDW",G215*F215,0)</f>
        <v>0</v>
      </c>
      <c r="J215" s="308">
        <f t="shared" ref="J215:J236" ca="1" si="28">IF(D215="JASA",G215*F215,0)</f>
        <v>0</v>
      </c>
      <c r="K215" s="309">
        <f t="shared" ref="K215:K236" ca="1" si="29">SUM(H215:J215)</f>
        <v>0</v>
      </c>
      <c r="L215" s="316"/>
      <c r="M215" s="289" t="str">
        <f t="shared" ca="1" si="13"/>
        <v/>
      </c>
      <c r="N215" s="316"/>
      <c r="O215" s="310"/>
      <c r="P215" s="310"/>
      <c r="Q215" s="291"/>
      <c r="R215" s="283"/>
      <c r="S215" s="311"/>
      <c r="T215" s="288"/>
      <c r="U215" s="288"/>
      <c r="V215" s="288"/>
    </row>
    <row r="216" spans="1:22" s="317" customFormat="1">
      <c r="A216" s="283"/>
      <c r="B216" s="462" t="s">
        <v>1035</v>
      </c>
      <c r="C216" s="463" t="s">
        <v>1660</v>
      </c>
      <c r="D216" s="305" t="str">
        <f ca="1">IF(ISERROR(OFFSET('HARGA SATUAN'!$D$6,MATCH(RAB!C216,'HARGA SATUAN'!$C$7:$C$1495,0),0)),"",OFFSET('HARGA SATUAN'!$D$6,MATCH(RAB!C216,'HARGA SATUAN'!$C$7:$C$1495,0),0))</f>
        <v/>
      </c>
      <c r="E216" s="306" t="str">
        <f ca="1">IF(B216="+","Unit",IF(ISERROR(OFFSET('HARGA SATUAN'!$E$6,MATCH(RAB!C216,'HARGA SATUAN'!$C$7:$C$1495,0),0)),"",OFFSET('HARGA SATUAN'!$E$6,MATCH(RAB!C216,'HARGA SATUAN'!$C$7:$C$1495,0),0)))</f>
        <v>Unit</v>
      </c>
      <c r="F216" s="461">
        <v>1</v>
      </c>
      <c r="G216" s="307">
        <f ca="1">IF(ISERROR(OFFSET('HARGA SATUAN'!$I$6,MATCH(RAB!C216,'HARGA SATUAN'!$C$7:$C$1495,0),0)),0,OFFSET('HARGA SATUAN'!$I$6,MATCH(RAB!C216,'HARGA SATUAN'!$C$7:$C$1495,0),0))</f>
        <v>0</v>
      </c>
      <c r="H216" s="308">
        <f t="shared" ca="1" si="26"/>
        <v>0</v>
      </c>
      <c r="I216" s="308">
        <f t="shared" ca="1" si="27"/>
        <v>0</v>
      </c>
      <c r="J216" s="308">
        <f t="shared" ca="1" si="28"/>
        <v>0</v>
      </c>
      <c r="K216" s="309">
        <f t="shared" ca="1" si="29"/>
        <v>0</v>
      </c>
      <c r="L216" s="316"/>
      <c r="M216" s="289"/>
      <c r="N216" s="316"/>
      <c r="O216" s="310"/>
      <c r="P216" s="310"/>
      <c r="Q216" s="291"/>
      <c r="R216" s="283"/>
      <c r="S216" s="311"/>
      <c r="T216" s="288"/>
      <c r="U216" s="288"/>
      <c r="V216" s="288"/>
    </row>
    <row r="217" spans="1:22" s="317" customFormat="1" ht="30">
      <c r="A217" s="283"/>
      <c r="B217" s="717">
        <v>1</v>
      </c>
      <c r="C217" s="109" t="s">
        <v>1195</v>
      </c>
      <c r="D217" s="305" t="str">
        <f ca="1">IF(ISERROR(OFFSET('HARGA SATUAN'!$D$6,MATCH(RAB!C217,'HARGA SATUAN'!$C$7:$C$1495,0),0)),"",OFFSET('HARGA SATUAN'!$D$6,MATCH(RAB!C217,'HARGA SATUAN'!$C$7:$C$1495,0),0))</f>
        <v>MDU-KD</v>
      </c>
      <c r="E217" s="306" t="str">
        <f ca="1">IF(B217="+","Unit",IF(ISERROR(OFFSET('HARGA SATUAN'!$E$6,MATCH(RAB!C217,'HARGA SATUAN'!$C$7:$C$1495,0),0)),"",OFFSET('HARGA SATUAN'!$E$6,MATCH(RAB!C217,'HARGA SATUAN'!$C$7:$C$1495,0),0)))</f>
        <v>Bh</v>
      </c>
      <c r="F217" s="461">
        <f>F216*1</f>
        <v>1</v>
      </c>
      <c r="G217" s="307">
        <f ca="1">IF(ISERROR(OFFSET('HARGA SATUAN'!$I$6,MATCH(RAB!C217,'HARGA SATUAN'!$C$7:$C$1495,0),0)),0,OFFSET('HARGA SATUAN'!$I$6,MATCH(RAB!C217,'HARGA SATUAN'!$C$7:$C$1495,0),0))</f>
        <v>1504200</v>
      </c>
      <c r="H217" s="308">
        <f t="shared" ca="1" si="26"/>
        <v>1504200</v>
      </c>
      <c r="I217" s="308">
        <f t="shared" ca="1" si="27"/>
        <v>0</v>
      </c>
      <c r="J217" s="308">
        <f t="shared" ca="1" si="28"/>
        <v>0</v>
      </c>
      <c r="K217" s="309">
        <f t="shared" ca="1" si="29"/>
        <v>1504200</v>
      </c>
      <c r="L217" s="316"/>
      <c r="M217" s="289"/>
      <c r="N217" s="316"/>
      <c r="O217" s="310"/>
      <c r="P217" s="310"/>
      <c r="Q217" s="291"/>
      <c r="R217" s="283"/>
      <c r="S217" s="311"/>
      <c r="T217" s="288"/>
      <c r="U217" s="288"/>
      <c r="V217" s="288"/>
    </row>
    <row r="218" spans="1:22" s="317" customFormat="1">
      <c r="A218" s="283"/>
      <c r="B218" s="717">
        <v>2</v>
      </c>
      <c r="C218" s="727" t="s">
        <v>516</v>
      </c>
      <c r="D218" s="305" t="str">
        <f ca="1">IF(ISERROR(OFFSET('HARGA SATUAN'!$D$6,MATCH(RAB!C218,'HARGA SATUAN'!$C$7:$C$1495,0),0)),"",OFFSET('HARGA SATUAN'!$D$6,MATCH(RAB!C218,'HARGA SATUAN'!$C$7:$C$1495,0),0))</f>
        <v>MDU-KD</v>
      </c>
      <c r="E218" s="306" t="str">
        <f ca="1">IF(B218="+","Unit",IF(ISERROR(OFFSET('HARGA SATUAN'!$E$6,MATCH(RAB!C218,'HARGA SATUAN'!$C$7:$C$1495,0),0)),"",OFFSET('HARGA SATUAN'!$E$6,MATCH(RAB!C218,'HARGA SATUAN'!$C$7:$C$1495,0),0)))</f>
        <v>Unit</v>
      </c>
      <c r="F218" s="461">
        <f>F216*1</f>
        <v>1</v>
      </c>
      <c r="G218" s="307">
        <f ca="1">IF(ISERROR(OFFSET('HARGA SATUAN'!$I$6,MATCH(RAB!C218,'HARGA SATUAN'!$C$7:$C$1495,0),0)),0,OFFSET('HARGA SATUAN'!$I$6,MATCH(RAB!C218,'HARGA SATUAN'!$C$7:$C$1495,0),0))</f>
        <v>13644300</v>
      </c>
      <c r="H218" s="308">
        <f t="shared" ca="1" si="26"/>
        <v>13644300</v>
      </c>
      <c r="I218" s="308">
        <f t="shared" ca="1" si="27"/>
        <v>0</v>
      </c>
      <c r="J218" s="308">
        <f t="shared" ca="1" si="28"/>
        <v>0</v>
      </c>
      <c r="K218" s="309">
        <f t="shared" ca="1" si="29"/>
        <v>13644300</v>
      </c>
      <c r="L218" s="316"/>
      <c r="M218" s="289"/>
      <c r="N218" s="316"/>
      <c r="O218" s="310"/>
      <c r="P218" s="310"/>
      <c r="Q218" s="291"/>
      <c r="R218" s="283"/>
      <c r="S218" s="311"/>
      <c r="T218" s="288"/>
      <c r="U218" s="288"/>
      <c r="V218" s="288"/>
    </row>
    <row r="219" spans="1:22" s="317" customFormat="1">
      <c r="A219" s="283"/>
      <c r="B219" s="717">
        <v>3</v>
      </c>
      <c r="C219" s="727" t="s">
        <v>1141</v>
      </c>
      <c r="D219" s="305" t="str">
        <f ca="1">IF(ISERROR(OFFSET('HARGA SATUAN'!$D$6,MATCH(RAB!C219,'HARGA SATUAN'!$C$7:$C$1495,0),0)),"",OFFSET('HARGA SATUAN'!$D$6,MATCH(RAB!C219,'HARGA SATUAN'!$C$7:$C$1495,0),0))</f>
        <v>HDW</v>
      </c>
      <c r="E219" s="306" t="str">
        <f ca="1">IF(B219="+","Unit",IF(ISERROR(OFFSET('HARGA SATUAN'!$E$6,MATCH(RAB!C219,'HARGA SATUAN'!$C$7:$C$1495,0),0)),"",OFFSET('HARGA SATUAN'!$E$6,MATCH(RAB!C219,'HARGA SATUAN'!$C$7:$C$1495,0),0)))</f>
        <v>Unit</v>
      </c>
      <c r="F219" s="461">
        <f>F216*1</f>
        <v>1</v>
      </c>
      <c r="G219" s="307">
        <f ca="1">IF(ISERROR(OFFSET('HARGA SATUAN'!$I$6,MATCH(RAB!C219,'HARGA SATUAN'!$C$7:$C$1495,0),0)),0,OFFSET('HARGA SATUAN'!$I$6,MATCH(RAB!C219,'HARGA SATUAN'!$C$7:$C$1495,0),0))</f>
        <v>1113900</v>
      </c>
      <c r="H219" s="308">
        <f t="shared" ca="1" si="26"/>
        <v>0</v>
      </c>
      <c r="I219" s="308">
        <f t="shared" ca="1" si="27"/>
        <v>1113900</v>
      </c>
      <c r="J219" s="308">
        <f t="shared" ca="1" si="28"/>
        <v>0</v>
      </c>
      <c r="K219" s="309">
        <f t="shared" ca="1" si="29"/>
        <v>1113900</v>
      </c>
      <c r="L219" s="316"/>
      <c r="M219" s="289"/>
      <c r="N219" s="316"/>
      <c r="O219" s="310"/>
      <c r="P219" s="310"/>
      <c r="Q219" s="291"/>
      <c r="R219" s="283"/>
      <c r="S219" s="311"/>
      <c r="T219" s="288"/>
      <c r="U219" s="288"/>
      <c r="V219" s="288"/>
    </row>
    <row r="220" spans="1:22" s="317" customFormat="1">
      <c r="A220" s="283"/>
      <c r="B220" s="717">
        <v>4</v>
      </c>
      <c r="C220" s="109" t="s">
        <v>1457</v>
      </c>
      <c r="D220" s="305" t="str">
        <f ca="1">IF(ISERROR(OFFSET('HARGA SATUAN'!$D$6,MATCH(RAB!C220,'HARGA SATUAN'!$C$7:$C$1495,0),0)),"",OFFSET('HARGA SATUAN'!$D$6,MATCH(RAB!C220,'HARGA SATUAN'!$C$7:$C$1495,0),0))</f>
        <v>MDU-KD</v>
      </c>
      <c r="E220" s="306" t="str">
        <f ca="1">IF(B220="+","Unit",IF(ISERROR(OFFSET('HARGA SATUAN'!$E$6,MATCH(RAB!C220,'HARGA SATUAN'!$C$7:$C$1495,0),0)),"",OFFSET('HARGA SATUAN'!$E$6,MATCH(RAB!C220,'HARGA SATUAN'!$C$7:$C$1495,0),0)))</f>
        <v>Mtr</v>
      </c>
      <c r="F220" s="461">
        <v>50</v>
      </c>
      <c r="G220" s="307">
        <f ca="1">IF(ISERROR(OFFSET('HARGA SATUAN'!$I$6,MATCH(RAB!C220,'HARGA SATUAN'!$C$7:$C$1495,0),0)),0,OFFSET('HARGA SATUAN'!$I$6,MATCH(RAB!C220,'HARGA SATUAN'!$C$7:$C$1495,0),0))</f>
        <v>54500</v>
      </c>
      <c r="H220" s="308">
        <f t="shared" ca="1" si="26"/>
        <v>2725000</v>
      </c>
      <c r="I220" s="308">
        <f t="shared" ca="1" si="27"/>
        <v>0</v>
      </c>
      <c r="J220" s="308">
        <f t="shared" ca="1" si="28"/>
        <v>0</v>
      </c>
      <c r="K220" s="309">
        <f t="shared" ca="1" si="29"/>
        <v>2725000</v>
      </c>
      <c r="L220" s="316"/>
      <c r="M220" s="289"/>
      <c r="N220" s="316"/>
      <c r="O220" s="310"/>
      <c r="P220" s="310"/>
      <c r="Q220" s="291"/>
      <c r="R220" s="283"/>
      <c r="S220" s="311"/>
      <c r="T220" s="288"/>
      <c r="U220" s="288"/>
      <c r="V220" s="288"/>
    </row>
    <row r="221" spans="1:22" s="317" customFormat="1">
      <c r="A221" s="283"/>
      <c r="B221" s="717">
        <v>5</v>
      </c>
      <c r="C221" s="727" t="s">
        <v>799</v>
      </c>
      <c r="D221" s="305" t="str">
        <f ca="1">IF(ISERROR(OFFSET('HARGA SATUAN'!$D$6,MATCH(RAB!C221,'HARGA SATUAN'!$C$7:$C$1495,0),0)),"",OFFSET('HARGA SATUAN'!$D$6,MATCH(RAB!C221,'HARGA SATUAN'!$C$7:$C$1495,0),0))</f>
        <v>JASA</v>
      </c>
      <c r="E221" s="306" t="str">
        <f ca="1">IF(B221="+","Unit",IF(ISERROR(OFFSET('HARGA SATUAN'!$E$6,MATCH(RAB!C221,'HARGA SATUAN'!$C$7:$C$1495,0),0)),"",OFFSET('HARGA SATUAN'!$E$6,MATCH(RAB!C221,'HARGA SATUAN'!$C$7:$C$1495,0),0)))</f>
        <v>Unit</v>
      </c>
      <c r="F221" s="461">
        <f>F216*1</f>
        <v>1</v>
      </c>
      <c r="G221" s="307">
        <f ca="1">IF(ISERROR(OFFSET('HARGA SATUAN'!$I$6,MATCH(RAB!C221,'HARGA SATUAN'!$C$7:$C$1495,0),0)),0,OFFSET('HARGA SATUAN'!$I$6,MATCH(RAB!C221,'HARGA SATUAN'!$C$7:$C$1495,0),0))</f>
        <v>106400</v>
      </c>
      <c r="H221" s="308">
        <f t="shared" ref="H221" ca="1" si="30">IF(OR(D221="MDU",D221="MDU-KD"),(IF($O$3="RAB NON MDU","PLN KD",G221*F221)),0)</f>
        <v>0</v>
      </c>
      <c r="I221" s="308">
        <f t="shared" ref="I221" ca="1" si="31">IF(D221="HDW",G221*F221,0)</f>
        <v>0</v>
      </c>
      <c r="J221" s="308">
        <f t="shared" ref="J221" ca="1" si="32">IF(D221="JASA",G221*F221,0)</f>
        <v>106400</v>
      </c>
      <c r="K221" s="309">
        <f t="shared" ref="K221" ca="1" si="33">SUM(H221:J221)</f>
        <v>106400</v>
      </c>
      <c r="L221" s="316"/>
      <c r="M221" s="289"/>
      <c r="N221" s="316"/>
      <c r="O221" s="310"/>
      <c r="P221" s="310"/>
      <c r="Q221" s="291"/>
      <c r="R221" s="283"/>
      <c r="S221" s="311"/>
      <c r="T221" s="288"/>
      <c r="U221" s="288"/>
      <c r="V221" s="288"/>
    </row>
    <row r="222" spans="1:22" s="317" customFormat="1">
      <c r="A222" s="283"/>
      <c r="B222" s="318"/>
      <c r="C222" s="319"/>
      <c r="D222" s="305" t="str">
        <f ca="1">IF(ISERROR(OFFSET('HARGA SATUAN'!$D$6,MATCH(RAB!C222,'HARGA SATUAN'!$C$7:$C$1495,0),0)),"",OFFSET('HARGA SATUAN'!$D$6,MATCH(RAB!C222,'HARGA SATUAN'!$C$7:$C$1495,0),0))</f>
        <v/>
      </c>
      <c r="E222" s="306" t="str">
        <f ca="1">IF(B222="+","Unit",IF(ISERROR(OFFSET('HARGA SATUAN'!$E$6,MATCH(RAB!C222,'HARGA SATUAN'!$C$7:$C$1495,0),0)),"",OFFSET('HARGA SATUAN'!$E$6,MATCH(RAB!C222,'HARGA SATUAN'!$C$7:$C$1495,0),0)))</f>
        <v/>
      </c>
      <c r="F222" s="453"/>
      <c r="G222" s="307">
        <f ca="1">IF(ISERROR(OFFSET('HARGA SATUAN'!$I$6,MATCH(RAB!C222,'HARGA SATUAN'!$C$7:$C$1495,0),0)),0,OFFSET('HARGA SATUAN'!$I$6,MATCH(RAB!C222,'HARGA SATUAN'!$C$7:$C$1495,0),0))</f>
        <v>0</v>
      </c>
      <c r="H222" s="308">
        <f t="shared" ca="1" si="26"/>
        <v>0</v>
      </c>
      <c r="I222" s="308">
        <f t="shared" ca="1" si="27"/>
        <v>0</v>
      </c>
      <c r="J222" s="308">
        <f t="shared" ca="1" si="28"/>
        <v>0</v>
      </c>
      <c r="K222" s="309">
        <f t="shared" ca="1" si="29"/>
        <v>0</v>
      </c>
      <c r="L222" s="316"/>
      <c r="M222" s="289" t="str">
        <f ca="1">IF(AND(F222&gt;0,F215=0),"",IF(AND(ISBLANK(F222)=FALSE,K222=0),"WARNING",""))</f>
        <v/>
      </c>
      <c r="N222" s="316"/>
      <c r="O222" s="310"/>
      <c r="P222" s="310"/>
      <c r="Q222" s="291"/>
      <c r="R222" s="283"/>
      <c r="S222" s="311"/>
      <c r="T222" s="288"/>
      <c r="U222" s="288"/>
      <c r="V222" s="288"/>
    </row>
    <row r="223" spans="1:22" s="317" customFormat="1">
      <c r="A223" s="283"/>
      <c r="B223" s="318" t="s">
        <v>1035</v>
      </c>
      <c r="C223" s="319" t="s">
        <v>1618</v>
      </c>
      <c r="D223" s="305" t="str">
        <f ca="1">IF(ISERROR(OFFSET('HARGA SATUAN'!$D$6,MATCH(RAB!C223,'HARGA SATUAN'!$C$7:$C$1495,0),0)),"",OFFSET('HARGA SATUAN'!$D$6,MATCH(RAB!C223,'HARGA SATUAN'!$C$7:$C$1495,0),0))</f>
        <v/>
      </c>
      <c r="E223" s="306" t="str">
        <f ca="1">IF(B223="+","Unit",IF(ISERROR(OFFSET('HARGA SATUAN'!$E$6,MATCH(RAB!C223,'HARGA SATUAN'!$C$7:$C$1495,0),0)),"",OFFSET('HARGA SATUAN'!$E$6,MATCH(RAB!C223,'HARGA SATUAN'!$C$7:$C$1495,0),0)))</f>
        <v>Unit</v>
      </c>
      <c r="F223" s="452">
        <v>1</v>
      </c>
      <c r="G223" s="307">
        <f ca="1">IF(ISERROR(OFFSET('HARGA SATUAN'!$I$6,MATCH(RAB!C223,'HARGA SATUAN'!$C$7:$C$1495,0),0)),0,OFFSET('HARGA SATUAN'!$I$6,MATCH(RAB!C223,'HARGA SATUAN'!$C$7:$C$1495,0),0))</f>
        <v>0</v>
      </c>
      <c r="H223" s="308">
        <f t="shared" ca="1" si="26"/>
        <v>0</v>
      </c>
      <c r="I223" s="308">
        <f t="shared" ca="1" si="27"/>
        <v>0</v>
      </c>
      <c r="J223" s="308">
        <f t="shared" ca="1" si="28"/>
        <v>0</v>
      </c>
      <c r="K223" s="309">
        <f t="shared" ca="1" si="29"/>
        <v>0</v>
      </c>
      <c r="L223" s="316"/>
      <c r="M223" s="289" t="str">
        <f t="shared" si="13"/>
        <v/>
      </c>
      <c r="N223" s="316"/>
      <c r="O223" s="310"/>
      <c r="P223" s="310"/>
      <c r="Q223" s="291"/>
      <c r="R223" s="283"/>
      <c r="S223" s="311"/>
      <c r="T223" s="288"/>
      <c r="U223" s="288"/>
      <c r="V223" s="288"/>
    </row>
    <row r="224" spans="1:22" s="317" customFormat="1">
      <c r="A224" s="283"/>
      <c r="B224" s="318">
        <v>1</v>
      </c>
      <c r="C224" s="319" t="s">
        <v>29</v>
      </c>
      <c r="D224" s="305" t="str">
        <f ca="1">IF(ISERROR(OFFSET('HARGA SATUAN'!$D$6,MATCH(RAB!C224,'HARGA SATUAN'!$C$7:$C$1495,0),0)),"",OFFSET('HARGA SATUAN'!$D$6,MATCH(RAB!C224,'HARGA SATUAN'!$C$7:$C$1495,0),0))</f>
        <v>HDW</v>
      </c>
      <c r="E224" s="306" t="str">
        <f ca="1">IF(B224="+","Unit",IF(ISERROR(OFFSET('HARGA SATUAN'!$E$6,MATCH(RAB!C224,'HARGA SATUAN'!$C$7:$C$1495,0),0)),"",OFFSET('HARGA SATUAN'!$E$6,MATCH(RAB!C224,'HARGA SATUAN'!$C$7:$C$1495,0),0)))</f>
        <v>Bh</v>
      </c>
      <c r="F224" s="452">
        <f>F223*1</f>
        <v>1</v>
      </c>
      <c r="G224" s="307">
        <f ca="1">IF(ISERROR(OFFSET('HARGA SATUAN'!$I$6,MATCH(RAB!C224,'HARGA SATUAN'!$C$7:$C$1495,0),0)),0,OFFSET('HARGA SATUAN'!$I$6,MATCH(RAB!C224,'HARGA SATUAN'!$C$7:$C$1495,0),0))</f>
        <v>185200</v>
      </c>
      <c r="H224" s="308">
        <f t="shared" ca="1" si="26"/>
        <v>0</v>
      </c>
      <c r="I224" s="308">
        <f t="shared" ca="1" si="27"/>
        <v>185200</v>
      </c>
      <c r="J224" s="308">
        <f t="shared" ca="1" si="28"/>
        <v>0</v>
      </c>
      <c r="K224" s="309">
        <f t="shared" ca="1" si="29"/>
        <v>185200</v>
      </c>
      <c r="L224" s="316"/>
      <c r="M224" s="289" t="str">
        <f t="shared" ca="1" si="13"/>
        <v/>
      </c>
      <c r="N224" s="316"/>
      <c r="O224" s="310"/>
      <c r="P224" s="310"/>
      <c r="Q224" s="291"/>
      <c r="R224" s="283"/>
      <c r="S224" s="311"/>
      <c r="T224" s="288"/>
      <c r="U224" s="288"/>
      <c r="V224" s="288"/>
    </row>
    <row r="225" spans="1:22" s="317" customFormat="1">
      <c r="A225" s="283"/>
      <c r="B225" s="318">
        <v>2</v>
      </c>
      <c r="C225" s="319" t="s">
        <v>30</v>
      </c>
      <c r="D225" s="305" t="str">
        <f ca="1">IF(ISERROR(OFFSET('HARGA SATUAN'!$D$6,MATCH(RAB!C225,'HARGA SATUAN'!$C$7:$C$1495,0),0)),"",OFFSET('HARGA SATUAN'!$D$6,MATCH(RAB!C225,'HARGA SATUAN'!$C$7:$C$1495,0),0))</f>
        <v>HDW</v>
      </c>
      <c r="E225" s="306" t="str">
        <f ca="1">IF(B225="+","Unit",IF(ISERROR(OFFSET('HARGA SATUAN'!$E$6,MATCH(RAB!C225,'HARGA SATUAN'!$C$7:$C$1495,0),0)),"",OFFSET('HARGA SATUAN'!$E$6,MATCH(RAB!C225,'HARGA SATUAN'!$C$7:$C$1495,0),0)))</f>
        <v>Bh</v>
      </c>
      <c r="F225" s="452">
        <f>F223*1</f>
        <v>1</v>
      </c>
      <c r="G225" s="307">
        <f ca="1">IF(ISERROR(OFFSET('HARGA SATUAN'!$I$6,MATCH(RAB!C225,'HARGA SATUAN'!$C$7:$C$1495,0),0)),0,OFFSET('HARGA SATUAN'!$I$6,MATCH(RAB!C225,'HARGA SATUAN'!$C$7:$C$1495,0),0))</f>
        <v>47459</v>
      </c>
      <c r="H225" s="308">
        <f t="shared" ca="1" si="26"/>
        <v>0</v>
      </c>
      <c r="I225" s="308">
        <f t="shared" ca="1" si="27"/>
        <v>47459</v>
      </c>
      <c r="J225" s="308">
        <f t="shared" ca="1" si="28"/>
        <v>0</v>
      </c>
      <c r="K225" s="309">
        <f t="shared" ca="1" si="29"/>
        <v>47459</v>
      </c>
      <c r="L225" s="316"/>
      <c r="M225" s="289" t="str">
        <f t="shared" ca="1" si="13"/>
        <v/>
      </c>
      <c r="N225" s="316"/>
      <c r="O225" s="310"/>
      <c r="P225" s="310"/>
      <c r="Q225" s="291"/>
      <c r="R225" s="283"/>
      <c r="S225" s="311"/>
      <c r="T225" s="288"/>
      <c r="U225" s="288"/>
      <c r="V225" s="288"/>
    </row>
    <row r="226" spans="1:22" s="317" customFormat="1">
      <c r="A226" s="283"/>
      <c r="B226" s="318">
        <v>3</v>
      </c>
      <c r="C226" s="319" t="s">
        <v>32</v>
      </c>
      <c r="D226" s="305" t="str">
        <f ca="1">IF(ISERROR(OFFSET('HARGA SATUAN'!$D$6,MATCH(RAB!C226,'HARGA SATUAN'!$C$7:$C$1495,0),0)),"",OFFSET('HARGA SATUAN'!$D$6,MATCH(RAB!C226,'HARGA SATUAN'!$C$7:$C$1495,0),0))</f>
        <v>HDW</v>
      </c>
      <c r="E226" s="306" t="str">
        <f ca="1">IF(B226="+","Unit",IF(ISERROR(OFFSET('HARGA SATUAN'!$E$6,MATCH(RAB!C226,'HARGA SATUAN'!$C$7:$C$1495,0),0)),"",OFFSET('HARGA SATUAN'!$E$6,MATCH(RAB!C226,'HARGA SATUAN'!$C$7:$C$1495,0),0)))</f>
        <v>Mtr</v>
      </c>
      <c r="F226" s="452">
        <f>F223*1.5</f>
        <v>1.5</v>
      </c>
      <c r="G226" s="307">
        <f ca="1">IF(ISERROR(OFFSET('HARGA SATUAN'!$I$6,MATCH(RAB!C226,'HARGA SATUAN'!$C$7:$C$1495,0),0)),0,OFFSET('HARGA SATUAN'!$I$6,MATCH(RAB!C226,'HARGA SATUAN'!$C$7:$C$1495,0),0))</f>
        <v>30000</v>
      </c>
      <c r="H226" s="308">
        <f t="shared" ca="1" si="26"/>
        <v>0</v>
      </c>
      <c r="I226" s="308">
        <f t="shared" ca="1" si="27"/>
        <v>45000</v>
      </c>
      <c r="J226" s="308">
        <f t="shared" ca="1" si="28"/>
        <v>0</v>
      </c>
      <c r="K226" s="309">
        <f t="shared" ca="1" si="29"/>
        <v>45000</v>
      </c>
      <c r="L226" s="316"/>
      <c r="M226" s="289" t="str">
        <f t="shared" ca="1" si="13"/>
        <v/>
      </c>
      <c r="N226" s="316"/>
      <c r="O226" s="310"/>
      <c r="P226" s="310"/>
      <c r="Q226" s="291"/>
      <c r="R226" s="283"/>
      <c r="S226" s="311"/>
      <c r="T226" s="288"/>
      <c r="U226" s="288"/>
      <c r="V226" s="288"/>
    </row>
    <row r="227" spans="1:22" s="317" customFormat="1">
      <c r="A227" s="283"/>
      <c r="B227" s="318">
        <v>4</v>
      </c>
      <c r="C227" s="319" t="s">
        <v>33</v>
      </c>
      <c r="D227" s="305" t="str">
        <f ca="1">IF(ISERROR(OFFSET('HARGA SATUAN'!$D$6,MATCH(RAB!C227,'HARGA SATUAN'!$C$7:$C$1495,0),0)),"",OFFSET('HARGA SATUAN'!$D$6,MATCH(RAB!C227,'HARGA SATUAN'!$C$7:$C$1495,0),0))</f>
        <v>HDW</v>
      </c>
      <c r="E227" s="306" t="str">
        <f ca="1">IF(B227="+","Unit",IF(ISERROR(OFFSET('HARGA SATUAN'!$E$6,MATCH(RAB!C227,'HARGA SATUAN'!$C$7:$C$1495,0),0)),"",OFFSET('HARGA SATUAN'!$E$6,MATCH(RAB!C227,'HARGA SATUAN'!$C$7:$C$1495,0),0)))</f>
        <v>Bh</v>
      </c>
      <c r="F227" s="452">
        <f>F223*2</f>
        <v>2</v>
      </c>
      <c r="G227" s="307">
        <f ca="1">IF(ISERROR(OFFSET('HARGA SATUAN'!$I$6,MATCH(RAB!C227,'HARGA SATUAN'!$C$7:$C$1495,0),0)),0,OFFSET('HARGA SATUAN'!$I$6,MATCH(RAB!C227,'HARGA SATUAN'!$C$7:$C$1495,0),0))</f>
        <v>9500</v>
      </c>
      <c r="H227" s="308">
        <f t="shared" ca="1" si="26"/>
        <v>0</v>
      </c>
      <c r="I227" s="308">
        <f t="shared" ca="1" si="27"/>
        <v>19000</v>
      </c>
      <c r="J227" s="308">
        <f t="shared" ca="1" si="28"/>
        <v>0</v>
      </c>
      <c r="K227" s="309">
        <f t="shared" ca="1" si="29"/>
        <v>19000</v>
      </c>
      <c r="L227" s="316"/>
      <c r="M227" s="289" t="str">
        <f t="shared" ca="1" si="13"/>
        <v/>
      </c>
      <c r="N227" s="316"/>
      <c r="O227" s="310"/>
      <c r="P227" s="310"/>
      <c r="Q227" s="291"/>
      <c r="R227" s="283"/>
      <c r="S227" s="311"/>
      <c r="T227" s="288"/>
      <c r="U227" s="288"/>
      <c r="V227" s="288"/>
    </row>
    <row r="228" spans="1:22" s="317" customFormat="1">
      <c r="A228" s="283"/>
      <c r="B228" s="318">
        <v>5</v>
      </c>
      <c r="C228" s="319" t="s">
        <v>735</v>
      </c>
      <c r="D228" s="305" t="str">
        <f ca="1">IF(ISERROR(OFFSET('HARGA SATUAN'!$D$6,MATCH(RAB!C228,'HARGA SATUAN'!$C$7:$C$1495,0),0)),"",OFFSET('HARGA SATUAN'!$D$6,MATCH(RAB!C228,'HARGA SATUAN'!$C$7:$C$1495,0),0))</f>
        <v>JASA</v>
      </c>
      <c r="E228" s="306" t="str">
        <f ca="1">IF(B228="+","Unit",IF(ISERROR(OFFSET('HARGA SATUAN'!$E$6,MATCH(RAB!C228,'HARGA SATUAN'!$C$7:$C$1495,0),0)),"",OFFSET('HARGA SATUAN'!$E$6,MATCH(RAB!C228,'HARGA SATUAN'!$C$7:$C$1495,0),0)))</f>
        <v>Unit</v>
      </c>
      <c r="F228" s="452">
        <f>F223*1</f>
        <v>1</v>
      </c>
      <c r="G228" s="307">
        <f ca="1">IF(ISERROR(OFFSET('HARGA SATUAN'!$I$6,MATCH(RAB!C228,'HARGA SATUAN'!$C$7:$C$1495,0),0)),0,OFFSET('HARGA SATUAN'!$I$6,MATCH(RAB!C228,'HARGA SATUAN'!$C$7:$C$1495,0),0))</f>
        <v>56400</v>
      </c>
      <c r="H228" s="308">
        <f t="shared" ca="1" si="26"/>
        <v>0</v>
      </c>
      <c r="I228" s="308">
        <f t="shared" ca="1" si="27"/>
        <v>0</v>
      </c>
      <c r="J228" s="308">
        <f t="shared" ca="1" si="28"/>
        <v>56400</v>
      </c>
      <c r="K228" s="309">
        <f t="shared" ca="1" si="29"/>
        <v>56400</v>
      </c>
      <c r="L228" s="316"/>
      <c r="M228" s="289" t="str">
        <f t="shared" ca="1" si="13"/>
        <v/>
      </c>
      <c r="N228" s="316"/>
      <c r="O228" s="310"/>
      <c r="P228" s="310"/>
      <c r="Q228" s="291"/>
      <c r="R228" s="283"/>
      <c r="S228" s="311"/>
      <c r="T228" s="288"/>
      <c r="U228" s="288"/>
      <c r="V228" s="288"/>
    </row>
    <row r="229" spans="1:22" s="317" customFormat="1">
      <c r="A229" s="283"/>
      <c r="B229" s="318"/>
      <c r="C229" s="319"/>
      <c r="D229" s="305" t="str">
        <f ca="1">IF(ISERROR(OFFSET('HARGA SATUAN'!$D$6,MATCH(RAB!C229,'HARGA SATUAN'!$C$7:$C$1495,0),0)),"",OFFSET('HARGA SATUAN'!$D$6,MATCH(RAB!C229,'HARGA SATUAN'!$C$7:$C$1495,0),0))</f>
        <v/>
      </c>
      <c r="E229" s="306" t="str">
        <f ca="1">IF(B229="+","Unit",IF(ISERROR(OFFSET('HARGA SATUAN'!$E$6,MATCH(RAB!C229,'HARGA SATUAN'!$C$7:$C$1495,0),0)),"",OFFSET('HARGA SATUAN'!$E$6,MATCH(RAB!C229,'HARGA SATUAN'!$C$7:$C$1495,0),0)))</f>
        <v/>
      </c>
      <c r="F229" s="452"/>
      <c r="G229" s="307">
        <f ca="1">IF(ISERROR(OFFSET('HARGA SATUAN'!$I$6,MATCH(RAB!C229,'HARGA SATUAN'!$C$7:$C$1495,0),0)),0,OFFSET('HARGA SATUAN'!$I$6,MATCH(RAB!C229,'HARGA SATUAN'!$C$7:$C$1495,0),0))</f>
        <v>0</v>
      </c>
      <c r="H229" s="308">
        <f t="shared" ref="H229:H235" ca="1" si="34">IF(OR(D229="MDU",D229="MDU-KD"),(IF($O$3="RAB NON MDU","PLN KD",G229*F229)),0)</f>
        <v>0</v>
      </c>
      <c r="I229" s="308">
        <f t="shared" ref="I229:I235" ca="1" si="35">IF(D229="HDW",G229*F229,0)</f>
        <v>0</v>
      </c>
      <c r="J229" s="308">
        <f t="shared" ref="J229:J235" ca="1" si="36">IF(D229="JASA",G229*F229,0)</f>
        <v>0</v>
      </c>
      <c r="K229" s="309">
        <f t="shared" ref="K229:K235" ca="1" si="37">SUM(H229:J229)</f>
        <v>0</v>
      </c>
      <c r="L229" s="316"/>
      <c r="M229" s="289"/>
      <c r="N229" s="316"/>
      <c r="O229" s="310"/>
      <c r="P229" s="310"/>
      <c r="Q229" s="291"/>
      <c r="R229" s="283"/>
      <c r="S229" s="311"/>
      <c r="T229" s="288"/>
      <c r="U229" s="288"/>
      <c r="V229" s="288"/>
    </row>
    <row r="230" spans="1:22" s="317" customFormat="1">
      <c r="A230" s="283"/>
      <c r="B230" s="419" t="s">
        <v>22</v>
      </c>
      <c r="C230" s="422" t="s">
        <v>802</v>
      </c>
      <c r="D230" s="305" t="str">
        <f ca="1">IF(ISERROR(OFFSET('HARGA SATUAN'!$D$6,MATCH(RAB!C230,'HARGA SATUAN'!$C$7:$C$1495,0),0)),"",OFFSET('HARGA SATUAN'!$D$6,MATCH(RAB!C230,'HARGA SATUAN'!$C$7:$C$1495,0),0))</f>
        <v/>
      </c>
      <c r="E230" s="306">
        <f ca="1">IF(B230="+","Unit",IF(ISERROR(OFFSET('HARGA SATUAN'!$E$6,MATCH(RAB!C230,'HARGA SATUAN'!$C$7:$C$1495,0),0)),"",OFFSET('HARGA SATUAN'!$E$6,MATCH(RAB!C230,'HARGA SATUAN'!$C$7:$C$1495,0),0)))</f>
        <v>0</v>
      </c>
      <c r="F230" s="452"/>
      <c r="G230" s="307">
        <f ca="1">IF(ISERROR(OFFSET('HARGA SATUAN'!$I$6,MATCH(RAB!C230,'HARGA SATUAN'!$C$7:$C$1495,0),0)),0,OFFSET('HARGA SATUAN'!$I$6,MATCH(RAB!C230,'HARGA SATUAN'!$C$7:$C$1495,0),0))</f>
        <v>0</v>
      </c>
      <c r="H230" s="308">
        <f t="shared" ca="1" si="34"/>
        <v>0</v>
      </c>
      <c r="I230" s="308">
        <f t="shared" ca="1" si="35"/>
        <v>0</v>
      </c>
      <c r="J230" s="308">
        <f t="shared" ca="1" si="36"/>
        <v>0</v>
      </c>
      <c r="K230" s="309">
        <f t="shared" ca="1" si="37"/>
        <v>0</v>
      </c>
      <c r="L230" s="316"/>
      <c r="M230" s="289"/>
      <c r="N230" s="316"/>
      <c r="O230" s="310"/>
      <c r="P230" s="310"/>
      <c r="Q230" s="291"/>
      <c r="R230" s="283"/>
      <c r="S230" s="311"/>
      <c r="T230" s="288"/>
      <c r="U230" s="288"/>
      <c r="V230" s="288"/>
    </row>
    <row r="231" spans="1:22" s="317" customFormat="1">
      <c r="A231" s="283"/>
      <c r="B231" s="318">
        <v>1</v>
      </c>
      <c r="C231" s="109" t="s">
        <v>824</v>
      </c>
      <c r="D231" s="305" t="str">
        <f ca="1">IF(ISERROR(OFFSET('HARGA SATUAN'!$D$6,MATCH(RAB!C231,'HARGA SATUAN'!$C$7:$C$1495,0),0)),"",OFFSET('HARGA SATUAN'!$D$6,MATCH(RAB!C231,'HARGA SATUAN'!$C$7:$C$1495,0),0))</f>
        <v>JASA</v>
      </c>
      <c r="E231" s="306" t="str">
        <f ca="1">IF(B231="+","Unit",IF(ISERROR(OFFSET('HARGA SATUAN'!$E$6,MATCH(RAB!C231,'HARGA SATUAN'!$C$7:$C$1495,0),0)),"",OFFSET('HARGA SATUAN'!$E$6,MATCH(RAB!C231,'HARGA SATUAN'!$C$7:$C$1495,0),0)))</f>
        <v>Unit</v>
      </c>
      <c r="F231" s="452">
        <v>9</v>
      </c>
      <c r="G231" s="307">
        <f ca="1">IF(ISERROR(OFFSET('HARGA SATUAN'!$I$6,MATCH(RAB!C231,'HARGA SATUAN'!$C$7:$C$1495,0),0)),0,OFFSET('HARGA SATUAN'!$I$6,MATCH(RAB!C231,'HARGA SATUAN'!$C$7:$C$1495,0),0))</f>
        <v>31920</v>
      </c>
      <c r="H231" s="308">
        <f t="shared" ca="1" si="34"/>
        <v>0</v>
      </c>
      <c r="I231" s="308">
        <f t="shared" ca="1" si="35"/>
        <v>0</v>
      </c>
      <c r="J231" s="308">
        <f t="shared" ca="1" si="36"/>
        <v>287280</v>
      </c>
      <c r="K231" s="309">
        <f t="shared" ca="1" si="37"/>
        <v>287280</v>
      </c>
      <c r="L231" s="316"/>
      <c r="M231" s="289"/>
      <c r="N231" s="316"/>
      <c r="O231" s="310"/>
      <c r="P231" s="310"/>
      <c r="Q231" s="291"/>
      <c r="R231" s="283"/>
      <c r="S231" s="311"/>
      <c r="T231" s="288"/>
      <c r="U231" s="288"/>
      <c r="V231" s="288"/>
    </row>
    <row r="232" spans="1:22" s="317" customFormat="1">
      <c r="A232" s="283"/>
      <c r="B232" s="318">
        <v>2</v>
      </c>
      <c r="C232" s="109" t="s">
        <v>829</v>
      </c>
      <c r="D232" s="305" t="str">
        <f ca="1">IF(ISERROR(OFFSET('HARGA SATUAN'!$D$6,MATCH(RAB!C232,'HARGA SATUAN'!$C$7:$C$1495,0),0)),"",OFFSET('HARGA SATUAN'!$D$6,MATCH(RAB!C232,'HARGA SATUAN'!$C$7:$C$1495,0),0))</f>
        <v>JASA</v>
      </c>
      <c r="E232" s="306" t="str">
        <f ca="1">IF(B232="+","Unit",IF(ISERROR(OFFSET('HARGA SATUAN'!$E$6,MATCH(RAB!C232,'HARGA SATUAN'!$C$7:$C$1495,0),0)),"",OFFSET('HARGA SATUAN'!$E$6,MATCH(RAB!C232,'HARGA SATUAN'!$C$7:$C$1495,0),0)))</f>
        <v>Unit</v>
      </c>
      <c r="F232" s="452">
        <v>1</v>
      </c>
      <c r="G232" s="307">
        <f ca="1">IF(ISERROR(OFFSET('HARGA SATUAN'!$I$6,MATCH(RAB!C232,'HARGA SATUAN'!$C$7:$C$1495,0),0)),0,OFFSET('HARGA SATUAN'!$I$6,MATCH(RAB!C232,'HARGA SATUAN'!$C$7:$C$1495,0),0))</f>
        <v>48060</v>
      </c>
      <c r="H232" s="308">
        <f t="shared" ca="1" si="34"/>
        <v>0</v>
      </c>
      <c r="I232" s="308">
        <f t="shared" ca="1" si="35"/>
        <v>0</v>
      </c>
      <c r="J232" s="308">
        <f t="shared" ca="1" si="36"/>
        <v>48060</v>
      </c>
      <c r="K232" s="309">
        <f t="shared" ca="1" si="37"/>
        <v>48060</v>
      </c>
      <c r="L232" s="316"/>
      <c r="M232" s="289"/>
      <c r="N232" s="316"/>
      <c r="O232" s="310"/>
      <c r="P232" s="310"/>
      <c r="Q232" s="291"/>
      <c r="R232" s="283"/>
      <c r="S232" s="311"/>
      <c r="T232" s="288"/>
      <c r="U232" s="288"/>
      <c r="V232" s="288"/>
    </row>
    <row r="233" spans="1:22" s="317" customFormat="1">
      <c r="A233" s="283"/>
      <c r="B233" s="318">
        <v>3</v>
      </c>
      <c r="C233" s="109" t="s">
        <v>832</v>
      </c>
      <c r="D233" s="305" t="str">
        <f ca="1">IF(ISERROR(OFFSET('HARGA SATUAN'!$D$6,MATCH(RAB!C233,'HARGA SATUAN'!$C$7:$C$1495,0),0)),"",OFFSET('HARGA SATUAN'!$D$6,MATCH(RAB!C233,'HARGA SATUAN'!$C$7:$C$1495,0),0))</f>
        <v>JASA</v>
      </c>
      <c r="E233" s="306" t="str">
        <f ca="1">IF(B233="+","Unit",IF(ISERROR(OFFSET('HARGA SATUAN'!$E$6,MATCH(RAB!C233,'HARGA SATUAN'!$C$7:$C$1495,0),0)),"",OFFSET('HARGA SATUAN'!$E$6,MATCH(RAB!C233,'HARGA SATUAN'!$C$7:$C$1495,0),0)))</f>
        <v>Unit</v>
      </c>
      <c r="F233" s="452">
        <v>1</v>
      </c>
      <c r="G233" s="307">
        <f ca="1">IF(ISERROR(OFFSET('HARGA SATUAN'!$I$6,MATCH(RAB!C233,'HARGA SATUAN'!$C$7:$C$1495,0),0)),0,OFFSET('HARGA SATUAN'!$I$6,MATCH(RAB!C233,'HARGA SATUAN'!$C$7:$C$1495,0),0))</f>
        <v>42180</v>
      </c>
      <c r="H233" s="308">
        <f t="shared" ca="1" si="34"/>
        <v>0</v>
      </c>
      <c r="I233" s="308">
        <f t="shared" ca="1" si="35"/>
        <v>0</v>
      </c>
      <c r="J233" s="308">
        <f t="shared" ca="1" si="36"/>
        <v>42180</v>
      </c>
      <c r="K233" s="309">
        <f t="shared" ca="1" si="37"/>
        <v>42180</v>
      </c>
      <c r="L233" s="316"/>
      <c r="M233" s="289"/>
      <c r="N233" s="316"/>
      <c r="O233" s="310"/>
      <c r="P233" s="310"/>
      <c r="Q233" s="291"/>
      <c r="R233" s="283"/>
      <c r="S233" s="311"/>
      <c r="T233" s="288"/>
      <c r="U233" s="288"/>
      <c r="V233" s="288"/>
    </row>
    <row r="234" spans="1:22" s="317" customFormat="1">
      <c r="A234" s="283"/>
      <c r="B234" s="318">
        <v>4</v>
      </c>
      <c r="C234" s="109" t="s">
        <v>849</v>
      </c>
      <c r="D234" s="305" t="str">
        <f ca="1">IF(ISERROR(OFFSET('HARGA SATUAN'!$D$6,MATCH(RAB!C234,'HARGA SATUAN'!$C$7:$C$1495,0),0)),"",OFFSET('HARGA SATUAN'!$D$6,MATCH(RAB!C234,'HARGA SATUAN'!$C$7:$C$1495,0),0))</f>
        <v>JASA</v>
      </c>
      <c r="E234" s="306" t="str">
        <f ca="1">IF(B234="+","Unit",IF(ISERROR(OFFSET('HARGA SATUAN'!$E$6,MATCH(RAB!C234,'HARGA SATUAN'!$C$7:$C$1495,0),0)),"",OFFSET('HARGA SATUAN'!$E$6,MATCH(RAB!C234,'HARGA SATUAN'!$C$7:$C$1495,0),0)))</f>
        <v>Unit</v>
      </c>
      <c r="F234" s="452">
        <v>1</v>
      </c>
      <c r="G234" s="307">
        <f ca="1">IF(ISERROR(OFFSET('HARGA SATUAN'!$I$6,MATCH(RAB!C234,'HARGA SATUAN'!$C$7:$C$1495,0),0)),0,OFFSET('HARGA SATUAN'!$I$6,MATCH(RAB!C234,'HARGA SATUAN'!$C$7:$C$1495,0),0))</f>
        <v>42240</v>
      </c>
      <c r="H234" s="308">
        <f t="shared" ca="1" si="34"/>
        <v>0</v>
      </c>
      <c r="I234" s="308">
        <f t="shared" ca="1" si="35"/>
        <v>0</v>
      </c>
      <c r="J234" s="308">
        <f t="shared" ca="1" si="36"/>
        <v>42240</v>
      </c>
      <c r="K234" s="309">
        <f t="shared" ca="1" si="37"/>
        <v>42240</v>
      </c>
      <c r="L234" s="316"/>
      <c r="M234" s="289"/>
      <c r="N234" s="316"/>
      <c r="O234" s="310"/>
      <c r="P234" s="310"/>
      <c r="Q234" s="291"/>
      <c r="R234" s="283"/>
      <c r="S234" s="311"/>
      <c r="T234" s="288"/>
      <c r="U234" s="288"/>
      <c r="V234" s="288"/>
    </row>
    <row r="235" spans="1:22" s="317" customFormat="1">
      <c r="A235" s="283"/>
      <c r="B235" s="318"/>
      <c r="C235" s="319"/>
      <c r="D235" s="305" t="str">
        <f ca="1">IF(ISERROR(OFFSET('HARGA SATUAN'!$D$6,MATCH(RAB!C235,'HARGA SATUAN'!$C$7:$C$1495,0),0)),"",OFFSET('HARGA SATUAN'!$D$6,MATCH(RAB!C235,'HARGA SATUAN'!$C$7:$C$1495,0),0))</f>
        <v/>
      </c>
      <c r="E235" s="306" t="str">
        <f ca="1">IF(B235="+","Unit",IF(ISERROR(OFFSET('HARGA SATUAN'!$E$6,MATCH(RAB!C235,'HARGA SATUAN'!$C$7:$C$1495,0),0)),"",OFFSET('HARGA SATUAN'!$E$6,MATCH(RAB!C235,'HARGA SATUAN'!$C$7:$C$1495,0),0)))</f>
        <v/>
      </c>
      <c r="F235" s="452"/>
      <c r="G235" s="307">
        <f ca="1">IF(ISERROR(OFFSET('HARGA SATUAN'!$I$6,MATCH(RAB!C235,'HARGA SATUAN'!$C$7:$C$1495,0),0)),0,OFFSET('HARGA SATUAN'!$I$6,MATCH(RAB!C235,'HARGA SATUAN'!$C$7:$C$1495,0),0))</f>
        <v>0</v>
      </c>
      <c r="H235" s="308">
        <f t="shared" ca="1" si="34"/>
        <v>0</v>
      </c>
      <c r="I235" s="308">
        <f t="shared" ca="1" si="35"/>
        <v>0</v>
      </c>
      <c r="J235" s="308">
        <f t="shared" ca="1" si="36"/>
        <v>0</v>
      </c>
      <c r="K235" s="309">
        <f t="shared" ca="1" si="37"/>
        <v>0</v>
      </c>
      <c r="L235" s="316"/>
      <c r="M235" s="289"/>
      <c r="N235" s="316"/>
      <c r="O235" s="310"/>
      <c r="P235" s="310"/>
      <c r="Q235" s="291"/>
      <c r="R235" s="283"/>
      <c r="S235" s="311"/>
      <c r="T235" s="288"/>
      <c r="U235" s="288"/>
      <c r="V235" s="288"/>
    </row>
    <row r="236" spans="1:22">
      <c r="B236" s="321"/>
      <c r="C236" s="320"/>
      <c r="D236" s="305" t="str">
        <f ca="1">IF(ISERROR(OFFSET('HARGA SATUAN'!$D$6,MATCH(RAB!C236,'HARGA SATUAN'!$C$7:$C$1495,0),0)),"",OFFSET('HARGA SATUAN'!$D$6,MATCH(RAB!C236,'HARGA SATUAN'!$C$7:$C$1495,0),0))</f>
        <v/>
      </c>
      <c r="E236" s="306" t="str">
        <f ca="1">IF(B236="+","Unit",IF(ISERROR(OFFSET('HARGA SATUAN'!$E$6,MATCH(RAB!C236,'HARGA SATUAN'!$C$7:$C$1495,0),0)),"",OFFSET('HARGA SATUAN'!$E$6,MATCH(RAB!C236,'HARGA SATUAN'!$C$7:$C$1495,0),0)))</f>
        <v/>
      </c>
      <c r="F236" s="315"/>
      <c r="G236" s="307">
        <f ca="1">IF(ISERROR(OFFSET('HARGA SATUAN'!$I$6,MATCH(RAB!C236,'HARGA SATUAN'!$C$7:$C$1495,0),0)),0,OFFSET('HARGA SATUAN'!$I$6,MATCH(RAB!C236,'HARGA SATUAN'!$C$7:$C$1495,0),0))</f>
        <v>0</v>
      </c>
      <c r="H236" s="308">
        <f t="shared" ca="1" si="26"/>
        <v>0</v>
      </c>
      <c r="I236" s="308">
        <f t="shared" ca="1" si="27"/>
        <v>0</v>
      </c>
      <c r="J236" s="308">
        <f t="shared" ca="1" si="28"/>
        <v>0</v>
      </c>
      <c r="K236" s="309">
        <f t="shared" ca="1" si="29"/>
        <v>0</v>
      </c>
      <c r="M236" s="289" t="str">
        <f ca="1">IF(AND(F236&gt;0,F228=0),"",IF(AND(ISBLANK(F236)=FALSE,K236=0),"WARNING",""))</f>
        <v/>
      </c>
    </row>
    <row r="237" spans="1:22">
      <c r="B237" s="322"/>
      <c r="C237" s="323" t="s">
        <v>475</v>
      </c>
      <c r="D237" s="305" t="str">
        <f ca="1">IF(ISERROR(OFFSET('HARGA SATUAN'!$D$6,MATCH(RAB!C237,'HARGA SATUAN'!$C$7:$C$1495,0),0)),"",OFFSET('HARGA SATUAN'!$D$6,MATCH(RAB!C237,'HARGA SATUAN'!$C$7:$C$1495,0),0))</f>
        <v/>
      </c>
      <c r="E237" s="306" t="str">
        <f ca="1">IF(B237="+","Unit",IF(ISERROR(OFFSET('HARGA SATUAN'!$E$6,MATCH(RAB!C237,'HARGA SATUAN'!$C$7:$C$1495,0),0)),"",OFFSET('HARGA SATUAN'!$E$6,MATCH(RAB!C237,'HARGA SATUAN'!$C$7:$C$1495,0),0)))</f>
        <v/>
      </c>
      <c r="F237" s="315"/>
      <c r="G237" s="307">
        <f ca="1">IF(ISERROR(OFFSET('HARGA SATUAN'!$I$6,MATCH(RAB!C237,'HARGA SATUAN'!$C$7:$C$1495,0),0)),0,OFFSET('HARGA SATUAN'!$I$6,MATCH(RAB!C237,'HARGA SATUAN'!$C$7:$C$1495,0),0))</f>
        <v>0</v>
      </c>
      <c r="H237" s="308">
        <f t="shared" ca="1" si="22"/>
        <v>0</v>
      </c>
      <c r="I237" s="308">
        <f t="shared" ca="1" si="23"/>
        <v>0</v>
      </c>
      <c r="J237" s="308">
        <f t="shared" ca="1" si="24"/>
        <v>0</v>
      </c>
      <c r="K237" s="309">
        <f t="shared" ca="1" si="25"/>
        <v>0</v>
      </c>
    </row>
    <row r="238" spans="1:22">
      <c r="B238" s="325">
        <v>1</v>
      </c>
      <c r="C238" s="326" t="s">
        <v>1091</v>
      </c>
      <c r="D238" s="327" t="str">
        <f ca="1">IF(ISERROR(OFFSET('HARGA SATUAN'!$D$6,MATCH(RAB!C238,'HARGA SATUAN'!$C$7:$C$1495,0),0)),"",OFFSET('HARGA SATUAN'!$D$6,MATCH(RAB!C238,'HARGA SATUAN'!$C$7:$C$1495,0),0))</f>
        <v>JASA</v>
      </c>
      <c r="E238" s="328" t="str">
        <f ca="1">IF(ISERROR(OFFSET('HARGA SATUAN'!$E$6,MATCH(RAB!C238,'HARGA SATUAN'!$C$7:$C$1495,0),0)),"",OFFSET('HARGA SATUAN'!$E$6,MATCH(RAB!C238,'HARGA SATUAN'!$C$7:$C$1495,0),0))</f>
        <v>Lot</v>
      </c>
      <c r="F238" s="329">
        <v>1</v>
      </c>
      <c r="G238" s="330">
        <f ca="1">IF(ISERROR(OFFSET('HARGA SATUAN'!$I$6,MATCH(RAB!C238,'HARGA SATUAN'!$C$7:$C$1495,0),0)),0,OFFSET('HARGA SATUAN'!$I$6,MATCH(RAB!C238,'HARGA SATUAN'!$C$7:$C$1495,0),0))</f>
        <v>2.5000000000000001E-2</v>
      </c>
      <c r="H238" s="331">
        <f ca="1">SUM(H14:H237)*G238</f>
        <v>3933336.25</v>
      </c>
      <c r="I238" s="331">
        <f ca="1">SUM(I14:I237)*G238</f>
        <v>1091460.9583333335</v>
      </c>
      <c r="J238" s="331">
        <f ca="1">SUM(J14:J237)*G238</f>
        <v>661006.33333333349</v>
      </c>
      <c r="K238" s="331">
        <f ca="1">SUM(K14:K237)*G238</f>
        <v>5685803.5416666679</v>
      </c>
      <c r="M238" s="289" t="str">
        <f t="shared" ref="M238" si="38">IF(AND(F238&gt;0,F237=0),"",IF(AND(ISBLANK(F238)=FALSE,K238=0),"WARNING",""))</f>
        <v/>
      </c>
    </row>
    <row r="239" spans="1:22">
      <c r="B239" s="332"/>
      <c r="C239" s="333"/>
      <c r="D239" s="305" t="str">
        <f ca="1">IF(ISERROR(OFFSET('HARGA SATUAN'!$D$6,MATCH(RAB!C239,'HARGA SATUAN'!$C$7:$C$1495,0),0)),"",OFFSET('HARGA SATUAN'!$D$6,MATCH(RAB!C239,'HARGA SATUAN'!$C$7:$C$1495,0),0))</f>
        <v/>
      </c>
      <c r="E239" s="306" t="str">
        <f ca="1">IF(ISERROR(OFFSET('HARGA SATUAN'!$E$6,MATCH(RAB!C239,'HARGA SATUAN'!$C$7:$C$1495,0),0)),"",OFFSET('HARGA SATUAN'!$E$6,MATCH(RAB!C239,'HARGA SATUAN'!$C$7:$C$1495,0),0))</f>
        <v/>
      </c>
      <c r="F239" s="324"/>
      <c r="G239" s="307" t="str">
        <f ca="1">IF(ISERROR(OFFSET('HARGA SATUAN'!$I$6,MATCH(RAB!C239,'HARGA SATUAN'!$C$7:$C$1495,0),0)),"",OFFSET('HARGA SATUAN'!$I$6,MATCH(RAB!C239,'HARGA SATUAN'!$C$7:$C$1495,0),0))</f>
        <v/>
      </c>
      <c r="H239" s="308">
        <f ca="1">IF(OR(D239="MDU",D239="MDU-KD"),IF(G239="PLN",0,G239*F239),0)</f>
        <v>0</v>
      </c>
      <c r="I239" s="308">
        <f ca="1">IF(D239="HDW",IF(G239="PLN",0,G239*F239),0)</f>
        <v>0</v>
      </c>
      <c r="J239" s="308">
        <f ca="1">IF(D239="JASA",IF(G239="PLN",0,G239*F239),0)</f>
        <v>0</v>
      </c>
      <c r="K239" s="309">
        <f ca="1">SUM(H239:J239)</f>
        <v>0</v>
      </c>
    </row>
    <row r="240" spans="1:22" ht="15.75" thickBot="1">
      <c r="B240" s="334"/>
      <c r="C240" s="335"/>
      <c r="D240" s="336"/>
      <c r="E240" s="337"/>
      <c r="F240" s="337"/>
      <c r="G240" s="337"/>
      <c r="H240" s="338"/>
      <c r="I240" s="338"/>
      <c r="J240" s="338"/>
      <c r="K240" s="339"/>
    </row>
    <row r="241" spans="2:13">
      <c r="B241" s="340"/>
      <c r="C241" s="616" t="s">
        <v>1008</v>
      </c>
      <c r="D241" s="616"/>
      <c r="E241" s="616"/>
      <c r="F241" s="616"/>
      <c r="G241" s="341" t="s">
        <v>9</v>
      </c>
      <c r="H241" s="342">
        <f ca="1">SUM(H14:H239)</f>
        <v>161266786.25</v>
      </c>
      <c r="I241" s="342">
        <f ca="1">SUM(I14:I239)</f>
        <v>44749899.291666672</v>
      </c>
      <c r="J241" s="342">
        <f ca="1">SUM(J14:J239)</f>
        <v>27101259.666666668</v>
      </c>
      <c r="K241" s="342">
        <f ca="1">SUM(K14:K239)</f>
        <v>233117945.20833334</v>
      </c>
    </row>
    <row r="242" spans="2:13">
      <c r="B242" s="343"/>
      <c r="C242" s="633" t="s">
        <v>1455</v>
      </c>
      <c r="D242" s="633"/>
      <c r="E242" s="633"/>
      <c r="F242" s="633"/>
      <c r="G242" s="344" t="s">
        <v>9</v>
      </c>
      <c r="H242" s="345">
        <f ca="1">H241*0.11</f>
        <v>17739346.487500001</v>
      </c>
      <c r="I242" s="345">
        <f ca="1">I241*0.11</f>
        <v>4922488.9220833341</v>
      </c>
      <c r="J242" s="345">
        <f ca="1">J241*0.11</f>
        <v>2981138.5633333335</v>
      </c>
      <c r="K242" s="345">
        <f ca="1">K241*0.11</f>
        <v>25642973.972916666</v>
      </c>
    </row>
    <row r="243" spans="2:13" ht="15.75" thickBot="1">
      <c r="B243" s="343"/>
      <c r="C243" s="630" t="s">
        <v>463</v>
      </c>
      <c r="D243" s="630"/>
      <c r="E243" s="630"/>
      <c r="F243" s="630"/>
      <c r="G243" s="346" t="s">
        <v>9</v>
      </c>
      <c r="H243" s="347">
        <f ca="1">SUM(H241:H242)</f>
        <v>179006132.73750001</v>
      </c>
      <c r="I243" s="347">
        <f ca="1">SUM(I241:I242)</f>
        <v>49672388.213750005</v>
      </c>
      <c r="J243" s="346">
        <f ca="1">SUM(J241:J242)</f>
        <v>30082398.23</v>
      </c>
      <c r="K243" s="346">
        <f ca="1">SUM(K241:K242)</f>
        <v>258760919.18125001</v>
      </c>
      <c r="M243" s="411"/>
    </row>
    <row r="244" spans="2:13">
      <c r="B244" s="634" t="str">
        <f ca="1">"Terbilang : "&amp;PROPER(IF(K243=0,"nol",IF(K243&lt;0,"minus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IF(--MID(TEXT(ABS(K243),"000000000000000"),1,3)=0,"",MID(TEXT(ABS(K243),"000000000000000"),1,1)&amp;" ratus "&amp;MID(TEXT(ABS(K243),"000000000000000"),2,1)&amp;" puluh "&amp;MID(TEXT(ABS(K243),"000000000000000"),3,1)&amp;" trilyun ")&amp; IF(--MID(TEXT(ABS(K243),"000000000000000"),4,3)=0,"",MID(TEXT(ABS(K243),"000000000000000"),4,1)&amp;" ratus "&amp;MID(TEXT(ABS(K243),"000000000000000"),5,1)&amp;" puluh "&amp;MID(TEXT(ABS(K243),"000000000000000"),6,1)&amp;" milyar ")&amp; IF(--MID(TEXT(ABS(K243),"000000000000000"),7,3)=0,"",MID(TEXT(ABS(K243),"000000000000000"),7,1)&amp;" ratus "&amp;MID(TEXT(ABS(K243),"000000000000000"),8,1)&amp;" puluh "&amp;MID(TEXT(ABS(K243),"000000000000000"),9,1)&amp;" juta ")&amp; IF(--MID(TEXT(ABS(K243),"000000000000000"),10,3)=0,"",IF(--MID(TEXT(ABS(K243),"000000000000000"),10,3)=1,"*",MID(TEXT(ABS(K243),"000000000000000"),10,1)&amp;" ratus "&amp;MID(TEXT(ABS(K243),"000000000000000"),11,1)&amp;" puluh ")&amp;MID(TEXT(ABS(K243),"000000000000000"),12,1)&amp;" ribu ")&amp; IF(--MID(TEXT(ABS(K243),"000000000000000"),13,3)=0,"",MID(TEXT(ABS(K243),"000000000000000"),13,1)&amp;" ratus "&amp;MID(TEXT(ABS(K243),"000000000000000"),14,1)&amp;" puluh "&amp;MID(TEXT(ABS(K243),"000000000000000"),15,1)),1,"satu"),2,"dua"),3,"tiga"),4,"empat"),5,"lima"),6,"enam"),7,"tujuh"),8,"delapan"),9,"sembilan"),"0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Lima Puluh Delapan Juta Tujuh Ratus Enam Puluh Ribu Sembilan Ratus Sembilan Belas Rupiah</v>
      </c>
      <c r="C244" s="635"/>
      <c r="D244" s="635"/>
      <c r="E244" s="635"/>
      <c r="F244" s="635"/>
      <c r="G244" s="635"/>
      <c r="H244" s="635"/>
      <c r="I244" s="635"/>
      <c r="J244" s="635"/>
      <c r="K244" s="636"/>
    </row>
    <row r="245" spans="2:13">
      <c r="B245" s="637"/>
      <c r="C245" s="638"/>
      <c r="D245" s="638"/>
      <c r="E245" s="638"/>
      <c r="F245" s="638"/>
      <c r="G245" s="638"/>
      <c r="H245" s="638"/>
      <c r="I245" s="638"/>
      <c r="J245" s="638"/>
      <c r="K245" s="639"/>
    </row>
    <row r="246" spans="2:13" ht="15.75" thickBot="1">
      <c r="B246" s="348" t="str">
        <f>"Harga yang dipakai adalah "&amp;'HARGA SATUAN'!I5&amp;""</f>
        <v>Harga yang dipakai adalah RAB HSS 2023</v>
      </c>
      <c r="C246" s="349"/>
      <c r="D246" s="350"/>
      <c r="E246" s="350"/>
      <c r="F246" s="350"/>
      <c r="G246" s="351"/>
      <c r="H246" s="351"/>
      <c r="I246" s="351"/>
      <c r="J246" s="351"/>
      <c r="K246" s="352"/>
    </row>
    <row r="247" spans="2:13">
      <c r="C247" s="353"/>
      <c r="E247" s="355"/>
      <c r="F247" s="355"/>
      <c r="G247" s="355"/>
    </row>
    <row r="248" spans="2:13">
      <c r="C248" s="284"/>
      <c r="E248" s="355"/>
      <c r="F248" s="355"/>
      <c r="G248" s="355"/>
      <c r="H248" s="640"/>
      <c r="I248" s="640"/>
      <c r="J248" s="641"/>
      <c r="K248" s="641"/>
    </row>
    <row r="249" spans="2:13">
      <c r="C249" s="284"/>
      <c r="E249" s="355"/>
      <c r="F249" s="355"/>
      <c r="G249" s="355"/>
      <c r="H249" s="356"/>
      <c r="I249" s="629" t="s">
        <v>1616</v>
      </c>
      <c r="J249" s="629"/>
      <c r="K249" s="629"/>
    </row>
    <row r="250" spans="2:13">
      <c r="C250" s="284"/>
      <c r="E250" s="355"/>
      <c r="F250" s="355"/>
      <c r="G250" s="355"/>
      <c r="H250" s="356"/>
      <c r="I250" s="629" t="s">
        <v>1611</v>
      </c>
      <c r="J250" s="629"/>
      <c r="K250" s="629"/>
    </row>
    <row r="251" spans="2:13">
      <c r="C251" s="284"/>
      <c r="E251" s="355"/>
      <c r="F251" s="355"/>
      <c r="G251" s="355"/>
      <c r="H251" s="357"/>
      <c r="I251" s="358"/>
      <c r="J251" s="358"/>
      <c r="K251" s="358"/>
    </row>
    <row r="252" spans="2:13">
      <c r="C252" s="284"/>
      <c r="E252" s="355"/>
      <c r="F252" s="355"/>
      <c r="G252" s="355"/>
      <c r="H252" s="357"/>
      <c r="I252" s="357"/>
      <c r="J252" s="357"/>
      <c r="K252" s="357"/>
    </row>
    <row r="253" spans="2:13">
      <c r="C253" s="284"/>
      <c r="E253" s="355"/>
      <c r="F253" s="355"/>
      <c r="G253" s="355"/>
      <c r="H253" s="357"/>
      <c r="I253" s="357"/>
      <c r="J253" s="357"/>
      <c r="K253" s="357"/>
    </row>
    <row r="254" spans="2:13">
      <c r="C254" s="284"/>
      <c r="E254" s="355"/>
      <c r="F254" s="355"/>
      <c r="G254" s="355"/>
      <c r="H254" s="357"/>
      <c r="I254" s="357"/>
      <c r="J254" s="357"/>
      <c r="K254" s="357"/>
    </row>
    <row r="255" spans="2:13">
      <c r="C255" s="284"/>
      <c r="E255" s="355"/>
      <c r="F255" s="355"/>
      <c r="G255" s="355"/>
      <c r="H255" s="359"/>
      <c r="I255" s="629" t="s">
        <v>1612</v>
      </c>
      <c r="J255" s="629"/>
      <c r="K255" s="629"/>
    </row>
    <row r="256" spans="2:13">
      <c r="C256" s="353"/>
      <c r="E256" s="355"/>
      <c r="F256" s="355"/>
      <c r="G256" s="355"/>
      <c r="H256" s="357"/>
      <c r="I256" s="357"/>
      <c r="J256" s="357"/>
      <c r="K256" s="357"/>
    </row>
    <row r="257" spans="3:11">
      <c r="C257" s="353"/>
      <c r="E257" s="355"/>
      <c r="F257" s="355"/>
      <c r="G257" s="355"/>
      <c r="H257" s="357"/>
      <c r="I257" s="357"/>
      <c r="J257" s="357"/>
      <c r="K257" s="357"/>
    </row>
    <row r="258" spans="3:11">
      <c r="C258" s="353"/>
      <c r="E258" s="355"/>
      <c r="F258" s="355"/>
      <c r="G258" s="355"/>
      <c r="H258" s="357"/>
      <c r="I258" s="357"/>
      <c r="J258" s="357"/>
      <c r="K258" s="357"/>
    </row>
  </sheetData>
  <sheetProtection sort="0" autoFilter="0"/>
  <protectedRanges>
    <protectedRange sqref="B215:C215 B15 B16:C16 B210:B214 B17:B18 B189:C209 B19:C186 B230:C230" name="Range1_6_1"/>
    <protectedRange sqref="C214" name="Range1_6_1_10"/>
    <protectedRange sqref="B222:C229 B216:B221 B235:C235 B231 B232 B233 B234" name="Range1_6_1_11"/>
    <protectedRange sqref="B187:C188" name="Range1_6_1_15"/>
    <protectedRange sqref="C216:C219 C221" name="Range1_6_1_18"/>
    <protectedRange sqref="C210 C220" name="Range1_1_3"/>
    <protectedRange sqref="C211" name="Range1_1_3_1"/>
    <protectedRange sqref="C17" name="Range1_1_3_3"/>
    <protectedRange sqref="C18" name="Range1_1_3_4"/>
    <protectedRange sqref="C212" name="Range1_1_3_5"/>
    <protectedRange sqref="C213" name="Range1_1_3_6"/>
    <protectedRange sqref="C231" name="Range1_1_3_7"/>
    <protectedRange sqref="C232" name="Range1_1_3_8"/>
    <protectedRange sqref="C233" name="Range1_1_3_9"/>
    <protectedRange sqref="C234" name="Range1_1_3_10"/>
  </protectedRanges>
  <mergeCells count="22">
    <mergeCell ref="I250:K250"/>
    <mergeCell ref="I255:K255"/>
    <mergeCell ref="C243:F243"/>
    <mergeCell ref="G6:K6"/>
    <mergeCell ref="I249:K249"/>
    <mergeCell ref="C242:F242"/>
    <mergeCell ref="B244:K245"/>
    <mergeCell ref="H248:K248"/>
    <mergeCell ref="H11:K11"/>
    <mergeCell ref="H12:H13"/>
    <mergeCell ref="J12:J13"/>
    <mergeCell ref="K12:K13"/>
    <mergeCell ref="O3:P4"/>
    <mergeCell ref="B4:K4"/>
    <mergeCell ref="C241:F241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">
    <cfRule type="cellIs" dxfId="32" priority="108" operator="equal">
      <formula>0</formula>
    </cfRule>
  </conditionalFormatting>
  <conditionalFormatting sqref="C210:C211">
    <cfRule type="cellIs" dxfId="31" priority="31" operator="equal">
      <formula>0</formula>
    </cfRule>
  </conditionalFormatting>
  <conditionalFormatting sqref="E1:E3 E5:E13 H12:I12 O13 E238:G238 H238:K240 E239:H239 E240:F240 E14:K26 S14:V235">
    <cfRule type="cellIs" dxfId="29" priority="1152" stopIfTrue="1" operator="equal">
      <formula>0</formula>
    </cfRule>
  </conditionalFormatting>
  <conditionalFormatting sqref="E33:K33 E27:E32 G27:K32 F181 E34:E186 G34:K186 E187:K237">
    <cfRule type="cellIs" dxfId="28" priority="30" stopIfTrue="1" operator="equal">
      <formula>0</formula>
    </cfRule>
  </conditionalFormatting>
  <conditionalFormatting sqref="G1:G13">
    <cfRule type="cellIs" dxfId="27" priority="77" stopIfTrue="1" operator="equal">
      <formula>0</formula>
    </cfRule>
  </conditionalFormatting>
  <conditionalFormatting sqref="G239:G65705 E244:E65705">
    <cfRule type="cellIs" dxfId="26" priority="286" stopIfTrue="1" operator="equal">
      <formula>0</formula>
    </cfRule>
  </conditionalFormatting>
  <conditionalFormatting sqref="F27:F32">
    <cfRule type="cellIs" dxfId="25" priority="29" stopIfTrue="1" operator="equal">
      <formula>0</formula>
    </cfRule>
  </conditionalFormatting>
  <conditionalFormatting sqref="C35">
    <cfRule type="cellIs" dxfId="24" priority="28" operator="equal">
      <formula>0</formula>
    </cfRule>
  </conditionalFormatting>
  <conditionalFormatting sqref="C39">
    <cfRule type="cellIs" dxfId="23" priority="27" operator="equal">
      <formula>0</formula>
    </cfRule>
  </conditionalFormatting>
  <conditionalFormatting sqref="F34:F54 F65 F85">
    <cfRule type="cellIs" dxfId="22" priority="26" stopIfTrue="1" operator="equal">
      <formula>0</formula>
    </cfRule>
  </conditionalFormatting>
  <conditionalFormatting sqref="F55:F64">
    <cfRule type="cellIs" dxfId="21" priority="25" stopIfTrue="1" operator="equal">
      <formula>0</formula>
    </cfRule>
  </conditionalFormatting>
  <conditionalFormatting sqref="F66:F84">
    <cfRule type="cellIs" dxfId="20" priority="24" stopIfTrue="1" operator="equal">
      <formula>0</formula>
    </cfRule>
  </conditionalFormatting>
  <conditionalFormatting sqref="F86:F90">
    <cfRule type="cellIs" dxfId="19" priority="20" stopIfTrue="1" operator="equal">
      <formula>0</formula>
    </cfRule>
  </conditionalFormatting>
  <conditionalFormatting sqref="F110:F124">
    <cfRule type="cellIs" dxfId="18" priority="19" stopIfTrue="1" operator="equal">
      <formula>0</formula>
    </cfRule>
  </conditionalFormatting>
  <conditionalFormatting sqref="C137">
    <cfRule type="cellIs" dxfId="17" priority="18" stopIfTrue="1" operator="equal">
      <formula>0</formula>
    </cfRule>
  </conditionalFormatting>
  <conditionalFormatting sqref="F126:F141">
    <cfRule type="cellIs" dxfId="16" priority="17" stopIfTrue="1" operator="equal">
      <formula>0</formula>
    </cfRule>
  </conditionalFormatting>
  <conditionalFormatting sqref="F143:F148">
    <cfRule type="cellIs" dxfId="15" priority="16" stopIfTrue="1" operator="equal">
      <formula>0</formula>
    </cfRule>
  </conditionalFormatting>
  <conditionalFormatting sqref="F150:F161 F167 F173">
    <cfRule type="cellIs" dxfId="14" priority="15" stopIfTrue="1" operator="equal">
      <formula>0</formula>
    </cfRule>
  </conditionalFormatting>
  <conditionalFormatting sqref="F162:F166">
    <cfRule type="cellIs" dxfId="13" priority="14" stopIfTrue="1" operator="equal">
      <formula>0</formula>
    </cfRule>
  </conditionalFormatting>
  <conditionalFormatting sqref="F168:F172">
    <cfRule type="cellIs" dxfId="12" priority="13" stopIfTrue="1" operator="equal">
      <formula>0</formula>
    </cfRule>
  </conditionalFormatting>
  <conditionalFormatting sqref="F174:F180">
    <cfRule type="cellIs" dxfId="11" priority="12" stopIfTrue="1" operator="equal">
      <formula>0</formula>
    </cfRule>
  </conditionalFormatting>
  <conditionalFormatting sqref="F182:F186">
    <cfRule type="cellIs" dxfId="10" priority="11" stopIfTrue="1" operator="equal">
      <formula>0</formula>
    </cfRule>
  </conditionalFormatting>
  <conditionalFormatting sqref="C17">
    <cfRule type="cellIs" dxfId="9" priority="10" operator="equal">
      <formula>0</formula>
    </cfRule>
  </conditionalFormatting>
  <conditionalFormatting sqref="C18">
    <cfRule type="cellIs" dxfId="8" priority="9" operator="equal">
      <formula>0</formula>
    </cfRule>
  </conditionalFormatting>
  <conditionalFormatting sqref="C212">
    <cfRule type="cellIs" dxfId="7" priority="8" operator="equal">
      <formula>0</formula>
    </cfRule>
  </conditionalFormatting>
  <conditionalFormatting sqref="C213">
    <cfRule type="cellIs" dxfId="6" priority="7" operator="equal">
      <formula>0</formula>
    </cfRule>
  </conditionalFormatting>
  <conditionalFormatting sqref="C217">
    <cfRule type="cellIs" dxfId="5" priority="6" operator="equal">
      <formula>0</formula>
    </cfRule>
  </conditionalFormatting>
  <conditionalFormatting sqref="C220">
    <cfRule type="cellIs" dxfId="4" priority="5" operator="equal">
      <formula>0</formula>
    </cfRule>
  </conditionalFormatting>
  <conditionalFormatting sqref="C231">
    <cfRule type="cellIs" dxfId="3" priority="4" operator="equal">
      <formula>0</formula>
    </cfRule>
  </conditionalFormatting>
  <conditionalFormatting sqref="C232">
    <cfRule type="cellIs" dxfId="2" priority="3" operator="equal">
      <formula>0</formula>
    </cfRule>
  </conditionalFormatting>
  <conditionalFormatting sqref="C233">
    <cfRule type="cellIs" dxfId="1" priority="2" operator="equal">
      <formula>0</formula>
    </cfRule>
  </conditionalFormatting>
  <conditionalFormatting sqref="C23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223:F235 F210:F214 F90 C36:C38 F85:F88 F143:F148 F168:F172 F110:F124 F162:F166 F174:F181 F185 F16:F65 F187:F208 H14:K24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238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13" zoomScale="90" zoomScaleNormal="90" zoomScaleSheetLayoutView="100" workbookViewId="0">
      <selection activeCell="K33" sqref="K33"/>
    </sheetView>
  </sheetViews>
  <sheetFormatPr defaultColWidth="9.140625" defaultRowHeight="12"/>
  <cols>
    <col min="1" max="2" width="1.42578125" style="464" customWidth="1"/>
    <col min="3" max="3" width="7.42578125" style="464" customWidth="1"/>
    <col min="4" max="23" width="5.7109375" style="464" customWidth="1"/>
    <col min="24" max="24" width="6.28515625" style="464" customWidth="1"/>
    <col min="25" max="26" width="5.7109375" style="464" customWidth="1"/>
    <col min="27" max="27" width="6.5703125" style="464" customWidth="1"/>
    <col min="28" max="118" width="5.7109375" style="464" customWidth="1"/>
    <col min="119" max="16384" width="9.140625" style="464"/>
  </cols>
  <sheetData>
    <row r="1" spans="3:30" ht="12.75" thickBot="1"/>
    <row r="2" spans="3:30" ht="12.75" customHeight="1">
      <c r="C2" s="465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 s="466"/>
      <c r="U2" s="466"/>
      <c r="V2" s="466"/>
      <c r="W2" s="699" t="s">
        <v>1438</v>
      </c>
      <c r="X2" s="700"/>
      <c r="Y2" s="700"/>
      <c r="Z2" s="700"/>
      <c r="AA2" s="700"/>
      <c r="AB2" s="700"/>
      <c r="AC2" s="700"/>
      <c r="AD2" s="701"/>
    </row>
    <row r="3" spans="3:30">
      <c r="C3" s="467"/>
      <c r="W3" s="702"/>
      <c r="X3" s="703"/>
      <c r="Y3" s="703"/>
      <c r="Z3" s="703"/>
      <c r="AA3" s="703"/>
      <c r="AB3" s="703"/>
      <c r="AC3" s="703"/>
      <c r="AD3" s="704"/>
    </row>
    <row r="4" spans="3:30">
      <c r="C4" s="467"/>
      <c r="G4" s="468" t="s">
        <v>1632</v>
      </c>
      <c r="W4" s="469" t="s">
        <v>987</v>
      </c>
      <c r="AD4" s="470"/>
    </row>
    <row r="5" spans="3:30">
      <c r="C5" s="467"/>
      <c r="W5" s="471" t="s">
        <v>991</v>
      </c>
      <c r="X5" s="646" t="s">
        <v>990</v>
      </c>
      <c r="Y5" s="646"/>
      <c r="Z5" s="646"/>
      <c r="AA5" s="646" t="s">
        <v>988</v>
      </c>
      <c r="AB5" s="646"/>
      <c r="AC5" s="646" t="s">
        <v>989</v>
      </c>
      <c r="AD5" s="647"/>
    </row>
    <row r="6" spans="3:30">
      <c r="C6" s="467"/>
      <c r="W6" s="471">
        <v>1</v>
      </c>
      <c r="X6" s="646" t="s">
        <v>993</v>
      </c>
      <c r="Y6" s="646"/>
      <c r="Z6" s="646"/>
      <c r="AA6" s="646"/>
      <c r="AB6" s="646"/>
      <c r="AC6" s="646"/>
      <c r="AD6" s="647"/>
    </row>
    <row r="7" spans="3:30">
      <c r="C7" s="467"/>
      <c r="W7" s="471">
        <v>2</v>
      </c>
      <c r="X7" s="646" t="s">
        <v>994</v>
      </c>
      <c r="Y7" s="646"/>
      <c r="Z7" s="646"/>
      <c r="AA7" s="646"/>
      <c r="AB7" s="646"/>
      <c r="AC7" s="646"/>
      <c r="AD7" s="647"/>
    </row>
    <row r="8" spans="3:30">
      <c r="C8" s="467"/>
      <c r="W8" s="471">
        <v>3</v>
      </c>
      <c r="X8" s="646" t="s">
        <v>995</v>
      </c>
      <c r="Y8" s="646"/>
      <c r="Z8" s="646"/>
      <c r="AA8" s="646"/>
      <c r="AB8" s="646"/>
      <c r="AC8" s="646"/>
      <c r="AD8" s="647"/>
    </row>
    <row r="9" spans="3:30">
      <c r="C9" s="467"/>
      <c r="W9" s="471">
        <v>4</v>
      </c>
      <c r="X9" s="646" t="s">
        <v>996</v>
      </c>
      <c r="Y9" s="646"/>
      <c r="Z9" s="646"/>
      <c r="AA9" s="646"/>
      <c r="AB9" s="646"/>
      <c r="AC9" s="646"/>
      <c r="AD9" s="647"/>
    </row>
    <row r="10" spans="3:30">
      <c r="C10" s="467"/>
      <c r="W10" s="471">
        <v>5</v>
      </c>
      <c r="X10" s="646" t="s">
        <v>997</v>
      </c>
      <c r="Y10" s="646"/>
      <c r="Z10" s="646"/>
      <c r="AA10" s="646"/>
      <c r="AB10" s="646"/>
      <c r="AC10" s="646"/>
      <c r="AD10" s="647"/>
    </row>
    <row r="11" spans="3:30">
      <c r="C11" s="467"/>
      <c r="W11" s="471">
        <v>6</v>
      </c>
      <c r="X11" s="646" t="s">
        <v>998</v>
      </c>
      <c r="Y11" s="646"/>
      <c r="Z11" s="646"/>
      <c r="AA11" s="646"/>
      <c r="AB11" s="646"/>
      <c r="AC11" s="646"/>
      <c r="AD11" s="647"/>
    </row>
    <row r="12" spans="3:30">
      <c r="C12" s="467"/>
      <c r="W12" s="471">
        <v>7</v>
      </c>
      <c r="X12" s="646" t="s">
        <v>999</v>
      </c>
      <c r="Y12" s="646"/>
      <c r="Z12" s="646"/>
      <c r="AA12" s="646"/>
      <c r="AB12" s="646"/>
      <c r="AC12" s="646"/>
      <c r="AD12" s="647"/>
    </row>
    <row r="13" spans="3:30" ht="12.75" customHeight="1">
      <c r="C13" s="467"/>
      <c r="W13" s="471">
        <v>8</v>
      </c>
      <c r="X13" s="646" t="s">
        <v>1000</v>
      </c>
      <c r="Y13" s="646"/>
      <c r="Z13" s="646"/>
      <c r="AA13" s="646"/>
      <c r="AB13" s="646"/>
      <c r="AC13" s="646"/>
      <c r="AD13" s="647"/>
    </row>
    <row r="14" spans="3:30">
      <c r="C14" s="467"/>
      <c r="W14" s="471">
        <v>9</v>
      </c>
      <c r="X14" s="646" t="s">
        <v>1001</v>
      </c>
      <c r="Y14" s="646"/>
      <c r="Z14" s="646"/>
      <c r="AA14" s="646"/>
      <c r="AB14" s="646"/>
      <c r="AC14" s="646"/>
      <c r="AD14" s="647"/>
    </row>
    <row r="15" spans="3:30">
      <c r="C15" s="467"/>
      <c r="W15" s="471">
        <v>10</v>
      </c>
      <c r="X15" s="646" t="s">
        <v>1010</v>
      </c>
      <c r="Y15" s="646"/>
      <c r="Z15" s="646"/>
      <c r="AA15" s="646"/>
      <c r="AB15" s="646"/>
      <c r="AC15" s="646"/>
      <c r="AD15" s="647"/>
    </row>
    <row r="16" spans="3:30">
      <c r="C16" s="467"/>
      <c r="W16" s="471">
        <v>11</v>
      </c>
      <c r="X16" s="646" t="s">
        <v>1454</v>
      </c>
      <c r="Y16" s="646"/>
      <c r="Z16" s="646"/>
      <c r="AA16" s="646"/>
      <c r="AB16" s="646"/>
      <c r="AC16" s="646"/>
      <c r="AD16" s="647"/>
    </row>
    <row r="17" spans="3:30">
      <c r="C17" s="467"/>
      <c r="S17" s="473"/>
      <c r="W17" s="471">
        <v>12</v>
      </c>
      <c r="X17" s="646" t="s">
        <v>1011</v>
      </c>
      <c r="Y17" s="646"/>
      <c r="Z17" s="646"/>
      <c r="AA17" s="646"/>
      <c r="AB17" s="646"/>
      <c r="AC17" s="646"/>
      <c r="AD17" s="647"/>
    </row>
    <row r="18" spans="3:30">
      <c r="C18" s="474"/>
      <c r="D18" s="475"/>
      <c r="E18" s="475"/>
      <c r="W18" s="471">
        <v>13</v>
      </c>
      <c r="X18" s="646"/>
      <c r="Y18" s="646"/>
      <c r="Z18" s="646"/>
      <c r="AA18" s="646"/>
      <c r="AB18" s="646"/>
      <c r="AC18" s="646"/>
      <c r="AD18" s="647"/>
    </row>
    <row r="19" spans="3:30">
      <c r="C19" s="467"/>
      <c r="W19" s="476"/>
      <c r="X19" s="688"/>
      <c r="Y19" s="688"/>
      <c r="Z19" s="688"/>
      <c r="AA19" s="688"/>
      <c r="AB19" s="688"/>
      <c r="AC19" s="688"/>
      <c r="AD19" s="689"/>
    </row>
    <row r="20" spans="3:30">
      <c r="C20" s="467"/>
      <c r="Q20" s="477"/>
      <c r="W20" s="690" t="s">
        <v>992</v>
      </c>
      <c r="X20" s="691"/>
      <c r="Y20" s="691"/>
      <c r="Z20" s="691"/>
      <c r="AA20" s="691"/>
      <c r="AB20" s="691"/>
      <c r="AC20" s="691"/>
      <c r="AD20" s="692"/>
    </row>
    <row r="21" spans="3:30">
      <c r="C21" s="467"/>
      <c r="W21" s="693" t="s">
        <v>985</v>
      </c>
      <c r="X21" s="694"/>
      <c r="Y21" s="694"/>
      <c r="Z21" s="695"/>
      <c r="AA21" s="696" t="s">
        <v>986</v>
      </c>
      <c r="AB21" s="697"/>
      <c r="AC21" s="697"/>
      <c r="AD21" s="698"/>
    </row>
    <row r="22" spans="3:30">
      <c r="C22" s="467"/>
      <c r="S22" s="478"/>
      <c r="W22" s="682" t="s">
        <v>1635</v>
      </c>
      <c r="X22" s="683"/>
      <c r="Y22" s="479" t="s">
        <v>1617</v>
      </c>
      <c r="Z22" s="480">
        <v>5</v>
      </c>
      <c r="AA22" s="684" t="s">
        <v>1651</v>
      </c>
      <c r="AB22" s="685"/>
      <c r="AC22" s="481" t="s">
        <v>1617</v>
      </c>
      <c r="AD22" s="482">
        <v>9</v>
      </c>
    </row>
    <row r="23" spans="3:30">
      <c r="C23" s="467"/>
      <c r="W23" s="682" t="s">
        <v>1618</v>
      </c>
      <c r="X23" s="683"/>
      <c r="Y23" s="479" t="s">
        <v>1617</v>
      </c>
      <c r="Z23" s="480">
        <v>1</v>
      </c>
      <c r="AA23" s="674" t="s">
        <v>1652</v>
      </c>
      <c r="AB23" s="675"/>
      <c r="AC23" s="481" t="s">
        <v>1617</v>
      </c>
      <c r="AD23" s="482">
        <v>1</v>
      </c>
    </row>
    <row r="24" spans="3:30">
      <c r="C24" s="467"/>
      <c r="W24" s="682" t="s">
        <v>1633</v>
      </c>
      <c r="X24" s="683"/>
      <c r="Y24" s="479" t="s">
        <v>1626</v>
      </c>
      <c r="Z24" s="480">
        <v>530</v>
      </c>
      <c r="AA24" s="686" t="s">
        <v>1653</v>
      </c>
      <c r="AB24" s="687"/>
      <c r="AC24" s="481" t="s">
        <v>1617</v>
      </c>
      <c r="AD24" s="482">
        <v>1</v>
      </c>
    </row>
    <row r="25" spans="3:30">
      <c r="C25" s="467"/>
      <c r="W25" s="682" t="s">
        <v>1625</v>
      </c>
      <c r="X25" s="683"/>
      <c r="Y25" s="479" t="s">
        <v>1617</v>
      </c>
      <c r="Z25" s="480">
        <v>6</v>
      </c>
      <c r="AA25" s="674" t="s">
        <v>1654</v>
      </c>
      <c r="AB25" s="675"/>
      <c r="AC25" s="481" t="s">
        <v>1617</v>
      </c>
      <c r="AD25" s="482">
        <v>1</v>
      </c>
    </row>
    <row r="26" spans="3:30">
      <c r="C26" s="467"/>
      <c r="W26" s="680" t="s">
        <v>1634</v>
      </c>
      <c r="X26" s="681"/>
      <c r="Y26" s="479" t="s">
        <v>1617</v>
      </c>
      <c r="Z26" s="480">
        <v>1</v>
      </c>
      <c r="AA26" s="674"/>
      <c r="AB26" s="675"/>
      <c r="AC26" s="481"/>
      <c r="AD26" s="482"/>
    </row>
    <row r="27" spans="3:30">
      <c r="C27" s="467"/>
      <c r="W27" s="680" t="s">
        <v>1636</v>
      </c>
      <c r="X27" s="681"/>
      <c r="Y27" s="479" t="s">
        <v>1649</v>
      </c>
      <c r="Z27" s="480">
        <v>2</v>
      </c>
      <c r="AA27" s="674"/>
      <c r="AB27" s="675"/>
      <c r="AC27" s="481"/>
      <c r="AD27" s="482"/>
    </row>
    <row r="28" spans="3:30">
      <c r="C28" s="467"/>
      <c r="W28" s="672" t="s">
        <v>1637</v>
      </c>
      <c r="X28" s="673"/>
      <c r="Y28" s="479" t="s">
        <v>1617</v>
      </c>
      <c r="Z28" s="480">
        <v>2</v>
      </c>
      <c r="AA28" s="674"/>
      <c r="AB28" s="675"/>
      <c r="AC28" s="481"/>
      <c r="AD28" s="482"/>
    </row>
    <row r="29" spans="3:30">
      <c r="C29" s="467"/>
      <c r="W29" s="680" t="s">
        <v>1638</v>
      </c>
      <c r="X29" s="681"/>
      <c r="Y29" s="479" t="s">
        <v>1617</v>
      </c>
      <c r="Z29" s="480">
        <v>1</v>
      </c>
      <c r="AA29" s="674"/>
      <c r="AB29" s="675"/>
      <c r="AC29" s="481"/>
      <c r="AD29" s="482"/>
    </row>
    <row r="30" spans="3:30" ht="11.25" customHeight="1">
      <c r="C30" s="467"/>
      <c r="W30" s="672" t="s">
        <v>1639</v>
      </c>
      <c r="X30" s="673"/>
      <c r="Y30" s="479" t="s">
        <v>1617</v>
      </c>
      <c r="Z30" s="480">
        <v>9</v>
      </c>
      <c r="AA30" s="674"/>
      <c r="AB30" s="675"/>
      <c r="AC30" s="481"/>
      <c r="AD30" s="482"/>
    </row>
    <row r="31" spans="3:30">
      <c r="C31" s="467"/>
      <c r="U31" s="487"/>
      <c r="W31" s="485" t="s">
        <v>1640</v>
      </c>
      <c r="X31" s="486"/>
      <c r="Y31" s="479" t="s">
        <v>1617</v>
      </c>
      <c r="Z31" s="480">
        <v>1</v>
      </c>
      <c r="AA31" s="674"/>
      <c r="AB31" s="675"/>
      <c r="AC31" s="481"/>
      <c r="AD31" s="482"/>
    </row>
    <row r="32" spans="3:30">
      <c r="C32" s="467"/>
      <c r="U32" s="487"/>
      <c r="W32" s="483" t="s">
        <v>1641</v>
      </c>
      <c r="X32" s="484"/>
      <c r="Y32" s="479" t="s">
        <v>1617</v>
      </c>
      <c r="Z32" s="480">
        <v>11</v>
      </c>
      <c r="AA32" s="674"/>
      <c r="AB32" s="675"/>
      <c r="AC32" s="481"/>
      <c r="AD32" s="482"/>
    </row>
    <row r="33" spans="3:30">
      <c r="C33" s="467"/>
      <c r="W33" s="672" t="s">
        <v>1642</v>
      </c>
      <c r="X33" s="673"/>
      <c r="Y33" s="479" t="s">
        <v>1617</v>
      </c>
      <c r="Z33" s="480">
        <v>1</v>
      </c>
      <c r="AA33" s="674"/>
      <c r="AB33" s="675"/>
      <c r="AC33" s="481"/>
      <c r="AD33" s="482"/>
    </row>
    <row r="34" spans="3:30">
      <c r="C34" s="467"/>
      <c r="Q34" s="464" t="s">
        <v>1607</v>
      </c>
      <c r="W34" s="672" t="s">
        <v>1643</v>
      </c>
      <c r="X34" s="673"/>
      <c r="Y34" s="479" t="s">
        <v>1617</v>
      </c>
      <c r="Z34" s="480">
        <v>2</v>
      </c>
      <c r="AA34" s="674"/>
      <c r="AB34" s="675"/>
      <c r="AC34" s="481"/>
      <c r="AD34" s="482"/>
    </row>
    <row r="35" spans="3:30">
      <c r="C35" s="467"/>
      <c r="W35" s="672" t="s">
        <v>1644</v>
      </c>
      <c r="X35" s="673"/>
      <c r="Y35" s="479" t="s">
        <v>1617</v>
      </c>
      <c r="Z35" s="480">
        <v>2</v>
      </c>
      <c r="AA35" s="674"/>
      <c r="AB35" s="675"/>
      <c r="AC35" s="481"/>
      <c r="AD35" s="482"/>
    </row>
    <row r="36" spans="3:30">
      <c r="C36" s="467"/>
      <c r="W36" s="672" t="s">
        <v>1645</v>
      </c>
      <c r="X36" s="673"/>
      <c r="Y36" s="479" t="s">
        <v>1617</v>
      </c>
      <c r="Z36" s="480">
        <v>2</v>
      </c>
      <c r="AA36" s="674"/>
      <c r="AB36" s="675"/>
      <c r="AC36" s="481"/>
      <c r="AD36" s="482"/>
    </row>
    <row r="37" spans="3:30" ht="12.75" customHeight="1">
      <c r="C37" s="467"/>
      <c r="W37" s="485" t="s">
        <v>1646</v>
      </c>
      <c r="X37" s="488"/>
      <c r="Y37" s="479" t="s">
        <v>1617</v>
      </c>
      <c r="Z37" s="480">
        <v>1</v>
      </c>
      <c r="AA37" s="676"/>
      <c r="AB37" s="677"/>
      <c r="AC37" s="481"/>
      <c r="AD37" s="489"/>
    </row>
    <row r="38" spans="3:30" ht="12.75" customHeight="1">
      <c r="C38" s="467"/>
      <c r="W38" s="490" t="s">
        <v>1647</v>
      </c>
      <c r="X38" s="491"/>
      <c r="Y38" s="479" t="s">
        <v>1617</v>
      </c>
      <c r="Z38" s="492">
        <v>2</v>
      </c>
      <c r="AA38" s="678"/>
      <c r="AB38" s="679"/>
      <c r="AC38" s="481"/>
      <c r="AD38" s="489"/>
    </row>
    <row r="39" spans="3:30" ht="12" customHeight="1">
      <c r="C39" s="467"/>
      <c r="W39" s="490" t="s">
        <v>1648</v>
      </c>
      <c r="X39" s="491"/>
      <c r="Y39" s="479" t="s">
        <v>1617</v>
      </c>
      <c r="Z39" s="492">
        <v>2</v>
      </c>
      <c r="AA39" s="660"/>
      <c r="AB39" s="661"/>
      <c r="AC39" s="481"/>
      <c r="AD39" s="489"/>
    </row>
    <row r="40" spans="3:30" ht="12" customHeight="1">
      <c r="C40" s="467"/>
      <c r="W40" s="493" t="s">
        <v>1650</v>
      </c>
      <c r="X40" s="494"/>
      <c r="Y40" s="495" t="s">
        <v>1626</v>
      </c>
      <c r="Z40" s="492">
        <v>2880</v>
      </c>
      <c r="AA40" s="496"/>
      <c r="AB40" s="497"/>
      <c r="AC40" s="498"/>
      <c r="AD40" s="499"/>
    </row>
    <row r="41" spans="3:30" ht="12" customHeight="1">
      <c r="C41" s="467"/>
      <c r="W41" s="662"/>
      <c r="X41" s="663"/>
      <c r="Y41" s="500"/>
      <c r="Z41" s="501"/>
      <c r="AA41" s="664"/>
      <c r="AB41" s="665"/>
      <c r="AC41" s="498"/>
      <c r="AD41" s="499"/>
    </row>
    <row r="42" spans="3:30" ht="12" customHeight="1">
      <c r="C42" s="467"/>
      <c r="W42" s="666" t="s">
        <v>1624</v>
      </c>
      <c r="X42" s="667"/>
      <c r="Y42" s="667"/>
      <c r="Z42" s="667"/>
      <c r="AA42" s="667"/>
      <c r="AB42" s="667"/>
      <c r="AC42" s="667"/>
      <c r="AD42" s="668"/>
    </row>
    <row r="43" spans="3:30" ht="12" customHeight="1">
      <c r="C43" s="467"/>
      <c r="V43" s="502"/>
      <c r="W43" s="669"/>
      <c r="X43" s="670"/>
      <c r="Y43" s="670"/>
      <c r="Z43" s="670"/>
      <c r="AA43" s="670"/>
      <c r="AB43" s="670"/>
      <c r="AC43" s="670"/>
      <c r="AD43" s="671"/>
    </row>
    <row r="44" spans="3:30">
      <c r="C44" s="503"/>
      <c r="D44" s="504"/>
      <c r="E44" s="504"/>
      <c r="F44" s="504"/>
      <c r="G44" s="504"/>
      <c r="H44" s="504"/>
      <c r="I44" s="504"/>
      <c r="N44" s="504"/>
      <c r="O44" s="504"/>
      <c r="P44" s="504"/>
      <c r="Q44" s="504"/>
      <c r="R44" s="504"/>
      <c r="S44" s="504"/>
      <c r="T44" s="504"/>
      <c r="U44" s="504"/>
      <c r="V44" s="502"/>
      <c r="W44" s="658" t="s">
        <v>11</v>
      </c>
      <c r="X44" s="645"/>
      <c r="Y44" s="646"/>
      <c r="Z44" s="646"/>
      <c r="AA44" s="646"/>
      <c r="AB44" s="646"/>
      <c r="AC44" s="646"/>
      <c r="AD44" s="647"/>
    </row>
    <row r="45" spans="3:30">
      <c r="C45" s="503"/>
      <c r="D45" s="504"/>
      <c r="E45" s="504"/>
      <c r="F45" s="504"/>
      <c r="G45" s="504"/>
      <c r="H45" s="504"/>
      <c r="I45" s="504"/>
      <c r="N45" s="504"/>
      <c r="O45" s="504"/>
      <c r="P45" s="504"/>
      <c r="Q45" s="504"/>
      <c r="R45" s="504"/>
      <c r="S45" s="504"/>
      <c r="T45" s="504"/>
      <c r="U45" s="504"/>
      <c r="V45" s="502"/>
      <c r="W45" s="658" t="s">
        <v>984</v>
      </c>
      <c r="X45" s="645"/>
      <c r="Y45" s="646">
        <v>1</v>
      </c>
      <c r="Z45" s="646"/>
      <c r="AA45" s="646"/>
      <c r="AB45" s="646" t="s">
        <v>12</v>
      </c>
      <c r="AC45" s="646"/>
      <c r="AD45" s="472" t="s">
        <v>13</v>
      </c>
    </row>
    <row r="46" spans="3:30">
      <c r="C46" s="503"/>
      <c r="D46" s="504"/>
      <c r="E46" s="504"/>
      <c r="F46" s="504"/>
      <c r="G46" s="504"/>
      <c r="H46" s="504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2"/>
      <c r="W46" s="658" t="s">
        <v>15</v>
      </c>
      <c r="X46" s="645"/>
      <c r="Y46" s="659"/>
      <c r="Z46" s="659"/>
      <c r="AA46" s="659"/>
      <c r="AB46" s="646" t="s">
        <v>16</v>
      </c>
      <c r="AC46" s="646"/>
      <c r="AD46" s="505"/>
    </row>
    <row r="47" spans="3:30">
      <c r="C47" s="503"/>
      <c r="D47" s="504"/>
      <c r="E47" s="504"/>
      <c r="F47" s="504"/>
      <c r="G47" s="504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2"/>
      <c r="W47" s="652" t="s">
        <v>17</v>
      </c>
      <c r="X47" s="652"/>
      <c r="Y47" s="652"/>
      <c r="Z47" s="652"/>
      <c r="AA47" s="652"/>
      <c r="AB47" s="652"/>
      <c r="AC47" s="652"/>
      <c r="AD47" s="653"/>
    </row>
    <row r="48" spans="3:30" ht="12.75" customHeight="1">
      <c r="C48" s="503"/>
      <c r="D48" s="504"/>
      <c r="E48" s="504"/>
      <c r="F48" s="504"/>
      <c r="G48" s="504"/>
      <c r="H48" s="504"/>
      <c r="I48" s="504"/>
      <c r="J48" s="504"/>
      <c r="K48" s="504"/>
      <c r="L48" s="504"/>
      <c r="M48" s="504"/>
      <c r="R48" s="504"/>
      <c r="S48" s="504"/>
      <c r="T48" s="504"/>
      <c r="U48" s="504"/>
      <c r="V48" s="502"/>
      <c r="W48" s="654" t="s">
        <v>1627</v>
      </c>
      <c r="X48" s="654"/>
      <c r="Y48" s="654"/>
      <c r="Z48" s="654"/>
      <c r="AA48" s="654"/>
      <c r="AB48" s="654"/>
      <c r="AC48" s="654"/>
      <c r="AD48" s="655"/>
    </row>
    <row r="49" spans="3:30">
      <c r="C49" s="503"/>
      <c r="D49" s="506"/>
      <c r="E49" s="504"/>
      <c r="F49" s="504"/>
      <c r="G49" s="504"/>
      <c r="I49" s="504"/>
      <c r="J49" s="504"/>
      <c r="K49" s="504"/>
      <c r="L49" s="504"/>
      <c r="M49" s="504"/>
      <c r="R49" s="504"/>
      <c r="S49" s="504"/>
      <c r="T49" s="504"/>
      <c r="U49" s="504"/>
      <c r="V49" s="507"/>
      <c r="W49" s="654"/>
      <c r="X49" s="654"/>
      <c r="Y49" s="654"/>
      <c r="Z49" s="654"/>
      <c r="AA49" s="654"/>
      <c r="AB49" s="654"/>
      <c r="AC49" s="654"/>
      <c r="AD49" s="655"/>
    </row>
    <row r="50" spans="3:30">
      <c r="C50" s="503"/>
      <c r="D50" s="508"/>
      <c r="E50" s="508"/>
      <c r="F50" s="508"/>
      <c r="G50" s="508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7"/>
      <c r="W50" s="654"/>
      <c r="X50" s="654"/>
      <c r="Y50" s="654"/>
      <c r="Z50" s="654"/>
      <c r="AA50" s="654"/>
      <c r="AB50" s="654"/>
      <c r="AC50" s="654"/>
      <c r="AD50" s="655"/>
    </row>
    <row r="51" spans="3:30" ht="19.5" customHeight="1">
      <c r="C51" s="503"/>
      <c r="D51" s="508"/>
      <c r="E51" s="508"/>
      <c r="F51" s="508"/>
      <c r="G51" s="508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7"/>
      <c r="W51" s="656"/>
      <c r="X51" s="656"/>
      <c r="Y51" s="656"/>
      <c r="Z51" s="656"/>
      <c r="AA51" s="656"/>
      <c r="AB51" s="656"/>
      <c r="AC51" s="656"/>
      <c r="AD51" s="657"/>
    </row>
    <row r="52" spans="3:30">
      <c r="C52" s="503"/>
      <c r="D52" s="509"/>
      <c r="E52" s="509"/>
      <c r="F52" s="509"/>
      <c r="G52" s="509"/>
      <c r="I52" s="504"/>
      <c r="J52" s="504"/>
      <c r="K52" s="504"/>
      <c r="L52" s="423"/>
      <c r="M52" s="504"/>
      <c r="N52" s="504"/>
      <c r="O52" s="504"/>
      <c r="P52" s="504"/>
      <c r="Q52" s="504"/>
      <c r="R52" s="504"/>
      <c r="S52" s="504"/>
      <c r="T52" s="504"/>
      <c r="U52" s="504"/>
      <c r="V52" s="502"/>
      <c r="W52" s="644" t="s">
        <v>18</v>
      </c>
      <c r="X52" s="645"/>
      <c r="Y52" s="646" t="s">
        <v>1623</v>
      </c>
      <c r="Z52" s="646"/>
      <c r="AA52" s="646"/>
      <c r="AB52" s="646"/>
      <c r="AC52" s="646"/>
      <c r="AD52" s="647"/>
    </row>
    <row r="53" spans="3:30">
      <c r="C53" s="503"/>
      <c r="D53" s="508"/>
      <c r="E53" s="508"/>
      <c r="F53" s="508"/>
      <c r="G53" s="508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V53" s="502"/>
      <c r="W53" s="644" t="s">
        <v>19</v>
      </c>
      <c r="X53" s="645"/>
      <c r="Y53" s="646" t="s">
        <v>1622</v>
      </c>
      <c r="Z53" s="646"/>
      <c r="AA53" s="646"/>
      <c r="AB53" s="646"/>
      <c r="AC53" s="646"/>
      <c r="AD53" s="647"/>
    </row>
    <row r="54" spans="3:30">
      <c r="C54" s="503"/>
      <c r="D54" s="424"/>
      <c r="E54" s="424"/>
      <c r="F54" s="424"/>
      <c r="G54" s="424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V54" s="502"/>
      <c r="W54" s="644" t="s">
        <v>20</v>
      </c>
      <c r="X54" s="645"/>
      <c r="Y54" s="646" t="s">
        <v>1622</v>
      </c>
      <c r="Z54" s="646"/>
      <c r="AA54" s="646"/>
      <c r="AB54" s="646"/>
      <c r="AC54" s="646"/>
      <c r="AD54" s="647"/>
    </row>
    <row r="55" spans="3:30" ht="12.75" thickBot="1">
      <c r="C55" s="510"/>
      <c r="D55" s="511"/>
      <c r="E55" s="511"/>
      <c r="F55" s="511"/>
      <c r="G55" s="511"/>
      <c r="H55" s="511"/>
      <c r="I55" s="511"/>
      <c r="J55" s="511"/>
      <c r="K55" s="511"/>
      <c r="L55" s="511"/>
      <c r="M55" s="511"/>
      <c r="N55" s="511"/>
      <c r="O55" s="511"/>
      <c r="P55" s="511"/>
      <c r="Q55" s="511"/>
      <c r="R55" s="511"/>
      <c r="S55" s="511"/>
      <c r="T55" s="511"/>
      <c r="U55" s="512"/>
      <c r="V55" s="513"/>
      <c r="W55" s="648" t="s">
        <v>21</v>
      </c>
      <c r="X55" s="649"/>
      <c r="Y55" s="650" t="s">
        <v>1621</v>
      </c>
      <c r="Z55" s="650"/>
      <c r="AA55" s="650"/>
      <c r="AB55" s="650"/>
      <c r="AC55" s="650"/>
      <c r="AD55" s="651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D39" sqref="AD39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05" t="s">
        <v>1619</v>
      </c>
      <c r="D3" s="706"/>
      <c r="E3" s="706"/>
      <c r="F3" s="706"/>
      <c r="G3" s="706"/>
      <c r="H3" s="706"/>
      <c r="I3" s="706"/>
      <c r="J3" s="706"/>
      <c r="K3" s="706"/>
      <c r="L3" s="706"/>
      <c r="M3" s="706"/>
      <c r="N3" s="706"/>
      <c r="O3" s="706"/>
      <c r="P3" s="706"/>
      <c r="Q3" s="706"/>
      <c r="R3" s="706"/>
      <c r="S3" s="706"/>
      <c r="T3" s="706"/>
      <c r="U3" s="706"/>
      <c r="V3" s="706"/>
      <c r="W3" s="706"/>
      <c r="X3" s="706"/>
      <c r="Y3" s="706"/>
      <c r="Z3" s="706"/>
      <c r="AA3" s="706"/>
      <c r="AB3" s="707"/>
      <c r="AC3" s="431"/>
      <c r="AD3" s="429"/>
      <c r="AE3" s="429"/>
    </row>
    <row r="4" spans="2:31" ht="13.5" customHeight="1" thickBot="1">
      <c r="B4" s="430"/>
      <c r="C4" s="708"/>
      <c r="D4" s="709"/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709"/>
      <c r="X4" s="709"/>
      <c r="Y4" s="709"/>
      <c r="Z4" s="709"/>
      <c r="AA4" s="709"/>
      <c r="AB4" s="710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D43" sqref="AD43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1" t="s">
        <v>1620</v>
      </c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3"/>
      <c r="AD4" s="206"/>
      <c r="AE4" s="205"/>
      <c r="AF4" s="205"/>
    </row>
    <row r="5" spans="2:32" ht="13.5" customHeight="1" thickBot="1">
      <c r="B5" s="204"/>
      <c r="C5" s="204"/>
      <c r="D5" s="714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5"/>
      <c r="AC5" s="716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2023-10-24T09:33:01Z</dcterms:modified>
</cp:coreProperties>
</file>