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3A4BA843-C955-4A4A-BDE3-5BC63E5D971D}" xr6:coauthVersionLast="47" xr6:coauthVersionMax="47" xr10:uidLastSave="{00000000-0000-0000-0000-000000000000}"/>
  <bookViews>
    <workbookView xWindow="-120" yWindow="-120" windowWidth="20730" windowHeight="11160" tabRatio="859" firstSheet="2" activeTab="11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RAB!$A$1:$K$124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  <fileRecoveryPr repairLoad="1"/>
</workbook>
</file>

<file path=xl/calcChain.xml><?xml version="1.0" encoding="utf-8"?>
<calcChain xmlns="http://schemas.openxmlformats.org/spreadsheetml/2006/main">
  <c r="F57" i="11" l="1"/>
  <c r="F56" i="11"/>
  <c r="F55" i="11"/>
  <c r="F54" i="11"/>
  <c r="F53" i="11"/>
  <c r="D52" i="11"/>
  <c r="D53" i="11"/>
  <c r="D54" i="11"/>
  <c r="D55" i="11"/>
  <c r="D56" i="11"/>
  <c r="D57" i="11"/>
  <c r="G101" i="11"/>
  <c r="G102" i="11"/>
  <c r="D101" i="11"/>
  <c r="H101" i="11" s="1"/>
  <c r="E101" i="11"/>
  <c r="D102" i="11"/>
  <c r="E102" i="11"/>
  <c r="G99" i="11"/>
  <c r="G100" i="11"/>
  <c r="D99" i="11"/>
  <c r="H99" i="11" s="1"/>
  <c r="E99" i="11"/>
  <c r="D100" i="11"/>
  <c r="E100" i="11"/>
  <c r="J102" i="11" l="1"/>
  <c r="J100" i="11"/>
  <c r="I102" i="11"/>
  <c r="J101" i="11"/>
  <c r="H102" i="11"/>
  <c r="I101" i="11"/>
  <c r="J99" i="11"/>
  <c r="I100" i="11"/>
  <c r="H100" i="11"/>
  <c r="I99" i="11"/>
  <c r="K99" i="11" l="1"/>
  <c r="K101" i="11"/>
  <c r="K100" i="11"/>
  <c r="K102" i="11"/>
  <c r="G98" i="11" l="1"/>
  <c r="G103" i="11"/>
  <c r="D98" i="11"/>
  <c r="H98" i="11" s="1"/>
  <c r="E98" i="11"/>
  <c r="D103" i="11"/>
  <c r="I103" i="11" s="1"/>
  <c r="E103" i="11"/>
  <c r="F90" i="11"/>
  <c r="F88" i="11"/>
  <c r="F87" i="11"/>
  <c r="F86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D80" i="11"/>
  <c r="I80" i="11" s="1"/>
  <c r="E80" i="11"/>
  <c r="D81" i="11"/>
  <c r="I81" i="11" s="1"/>
  <c r="E81" i="11"/>
  <c r="D82" i="11"/>
  <c r="E82" i="11"/>
  <c r="D83" i="11"/>
  <c r="I83" i="11" s="1"/>
  <c r="E83" i="11"/>
  <c r="G39" i="11"/>
  <c r="D39" i="11"/>
  <c r="H39" i="11" s="1"/>
  <c r="E39" i="11"/>
  <c r="J82" i="11" l="1"/>
  <c r="H103" i="11"/>
  <c r="J98" i="11"/>
  <c r="I98" i="11"/>
  <c r="J103" i="11"/>
  <c r="J81" i="11"/>
  <c r="H81" i="11"/>
  <c r="H80" i="11"/>
  <c r="I82" i="11"/>
  <c r="J83" i="11"/>
  <c r="H82" i="11"/>
  <c r="J80" i="11"/>
  <c r="H83" i="11"/>
  <c r="J39" i="11"/>
  <c r="I39" i="11"/>
  <c r="K81" i="11" l="1"/>
  <c r="K98" i="11"/>
  <c r="K103" i="11"/>
  <c r="K83" i="11"/>
  <c r="K39" i="11"/>
  <c r="K82" i="11"/>
  <c r="K80" i="11"/>
  <c r="G17" i="11" l="1"/>
  <c r="D17" i="11"/>
  <c r="H17" i="11" s="1"/>
  <c r="E17" i="11"/>
  <c r="G51" i="11"/>
  <c r="G52" i="11"/>
  <c r="G53" i="11"/>
  <c r="G54" i="11"/>
  <c r="G55" i="11"/>
  <c r="G56" i="11"/>
  <c r="G57" i="11"/>
  <c r="D51" i="11"/>
  <c r="H51" i="11" s="1"/>
  <c r="E51" i="11"/>
  <c r="J52" i="11"/>
  <c r="E52" i="11"/>
  <c r="I53" i="11"/>
  <c r="E53" i="11"/>
  <c r="E54" i="11"/>
  <c r="H55" i="11"/>
  <c r="E55" i="11"/>
  <c r="J56" i="11"/>
  <c r="E56" i="11"/>
  <c r="E57" i="11"/>
  <c r="F50" i="11"/>
  <c r="F49" i="11"/>
  <c r="F48" i="11"/>
  <c r="F47" i="11"/>
  <c r="F46" i="11"/>
  <c r="F45" i="11"/>
  <c r="F44" i="11"/>
  <c r="F43" i="11"/>
  <c r="F42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1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40" i="11"/>
  <c r="G41" i="11"/>
  <c r="G42" i="11"/>
  <c r="G43" i="11"/>
  <c r="G44" i="11"/>
  <c r="G45" i="11"/>
  <c r="G46" i="11"/>
  <c r="G47" i="11"/>
  <c r="G48" i="11"/>
  <c r="G49" i="11"/>
  <c r="G50" i="11"/>
  <c r="D26" i="11"/>
  <c r="E26" i="11"/>
  <c r="D27" i="11"/>
  <c r="J27" i="11" s="1"/>
  <c r="E27" i="11"/>
  <c r="D28" i="11"/>
  <c r="E28" i="11"/>
  <c r="D29" i="11"/>
  <c r="H29" i="11" s="1"/>
  <c r="E29" i="11"/>
  <c r="D30" i="11"/>
  <c r="H30" i="11" s="1"/>
  <c r="E30" i="11"/>
  <c r="D31" i="11"/>
  <c r="J31" i="11" s="1"/>
  <c r="E31" i="11"/>
  <c r="D32" i="11"/>
  <c r="E32" i="11"/>
  <c r="D33" i="11"/>
  <c r="H33" i="11" s="1"/>
  <c r="E33" i="11"/>
  <c r="D34" i="11"/>
  <c r="H34" i="11" s="1"/>
  <c r="E34" i="11"/>
  <c r="D35" i="11"/>
  <c r="J35" i="11" s="1"/>
  <c r="E35" i="11"/>
  <c r="D36" i="11"/>
  <c r="E36" i="11"/>
  <c r="D37" i="11"/>
  <c r="H37" i="11" s="1"/>
  <c r="E37" i="11"/>
  <c r="D38" i="11"/>
  <c r="H38" i="11" s="1"/>
  <c r="E38" i="11"/>
  <c r="D40" i="11"/>
  <c r="E40" i="11"/>
  <c r="D41" i="11"/>
  <c r="I41" i="11" s="1"/>
  <c r="E41" i="11"/>
  <c r="D42" i="11"/>
  <c r="H42" i="11" s="1"/>
  <c r="E42" i="11"/>
  <c r="D43" i="11"/>
  <c r="H43" i="11" s="1"/>
  <c r="E43" i="11"/>
  <c r="D44" i="11"/>
  <c r="J44" i="11" s="1"/>
  <c r="E44" i="11"/>
  <c r="D45" i="11"/>
  <c r="E45" i="11"/>
  <c r="D46" i="11"/>
  <c r="H46" i="11" s="1"/>
  <c r="E46" i="11"/>
  <c r="D47" i="11"/>
  <c r="H47" i="11" s="1"/>
  <c r="E47" i="11"/>
  <c r="D48" i="11"/>
  <c r="J48" i="11" s="1"/>
  <c r="E48" i="11"/>
  <c r="D49" i="11"/>
  <c r="E49" i="11"/>
  <c r="D50" i="11"/>
  <c r="H50" i="11" s="1"/>
  <c r="E50" i="11"/>
  <c r="G19" i="11"/>
  <c r="G20" i="11"/>
  <c r="G21" i="11"/>
  <c r="G22" i="11"/>
  <c r="G23" i="11"/>
  <c r="G24" i="11"/>
  <c r="G25" i="11"/>
  <c r="D20" i="11"/>
  <c r="J20" i="11" s="1"/>
  <c r="E20" i="11"/>
  <c r="D21" i="11"/>
  <c r="E21" i="11"/>
  <c r="D22" i="11"/>
  <c r="H22" i="11" s="1"/>
  <c r="E22" i="11"/>
  <c r="D23" i="11"/>
  <c r="E23" i="11"/>
  <c r="D24" i="11"/>
  <c r="J24" i="11" s="1"/>
  <c r="E24" i="11"/>
  <c r="D25" i="11"/>
  <c r="I25" i="11" s="1"/>
  <c r="E25" i="11"/>
  <c r="I57" i="11" l="1"/>
  <c r="J40" i="11"/>
  <c r="J17" i="11"/>
  <c r="I17" i="11"/>
  <c r="H54" i="11"/>
  <c r="I49" i="11"/>
  <c r="I45" i="11"/>
  <c r="I36" i="11"/>
  <c r="I32" i="11"/>
  <c r="I28" i="11"/>
  <c r="I56" i="11"/>
  <c r="I52" i="11"/>
  <c r="H56" i="11"/>
  <c r="I55" i="11"/>
  <c r="J54" i="11"/>
  <c r="H52" i="11"/>
  <c r="I51" i="11"/>
  <c r="H57" i="11"/>
  <c r="J55" i="11"/>
  <c r="J51" i="11"/>
  <c r="J57" i="11"/>
  <c r="I54" i="11"/>
  <c r="J53" i="11"/>
  <c r="H53" i="11"/>
  <c r="H26" i="11"/>
  <c r="H23" i="11"/>
  <c r="J43" i="11"/>
  <c r="H36" i="11"/>
  <c r="J34" i="11"/>
  <c r="I27" i="11"/>
  <c r="H45" i="11"/>
  <c r="J38" i="11"/>
  <c r="I31" i="11"/>
  <c r="J47" i="11"/>
  <c r="I35" i="11"/>
  <c r="H28" i="11"/>
  <c r="J26" i="11"/>
  <c r="H49" i="11"/>
  <c r="H32" i="11"/>
  <c r="J30" i="11"/>
  <c r="I48" i="11"/>
  <c r="I44" i="11"/>
  <c r="J50" i="11"/>
  <c r="H48" i="11"/>
  <c r="I47" i="11"/>
  <c r="J46" i="11"/>
  <c r="H44" i="11"/>
  <c r="I43" i="11"/>
  <c r="J42" i="11"/>
  <c r="H40" i="11"/>
  <c r="I38" i="11"/>
  <c r="J37" i="11"/>
  <c r="H35" i="11"/>
  <c r="I34" i="11"/>
  <c r="J33" i="11"/>
  <c r="H31" i="11"/>
  <c r="I30" i="11"/>
  <c r="J29" i="11"/>
  <c r="H27" i="11"/>
  <c r="I26" i="11"/>
  <c r="H41" i="11"/>
  <c r="I40" i="11"/>
  <c r="I50" i="11"/>
  <c r="K50" i="11" s="1"/>
  <c r="J49" i="11"/>
  <c r="I46" i="11"/>
  <c r="J45" i="11"/>
  <c r="I42" i="11"/>
  <c r="J41" i="11"/>
  <c r="I37" i="11"/>
  <c r="J36" i="11"/>
  <c r="I33" i="11"/>
  <c r="K33" i="11" s="1"/>
  <c r="J32" i="11"/>
  <c r="I29" i="11"/>
  <c r="J28" i="11"/>
  <c r="I21" i="11"/>
  <c r="J23" i="11"/>
  <c r="I20" i="11"/>
  <c r="I24" i="11"/>
  <c r="H21" i="11"/>
  <c r="H24" i="11"/>
  <c r="I23" i="11"/>
  <c r="J22" i="11"/>
  <c r="H20" i="11"/>
  <c r="H25" i="11"/>
  <c r="J25" i="11"/>
  <c r="I22" i="11"/>
  <c r="J21" i="11"/>
  <c r="K56" i="11" l="1"/>
  <c r="K52" i="11"/>
  <c r="K17" i="11"/>
  <c r="K54" i="11"/>
  <c r="K49" i="11"/>
  <c r="K53" i="11"/>
  <c r="K32" i="11"/>
  <c r="K31" i="11"/>
  <c r="K51" i="11"/>
  <c r="K55" i="11"/>
  <c r="K38" i="11"/>
  <c r="K44" i="11"/>
  <c r="K57" i="11"/>
  <c r="K30" i="11"/>
  <c r="K34" i="11"/>
  <c r="K20" i="11"/>
  <c r="K29" i="11"/>
  <c r="K46" i="11"/>
  <c r="K35" i="11"/>
  <c r="K47" i="11"/>
  <c r="K27" i="11"/>
  <c r="K28" i="11"/>
  <c r="K37" i="11"/>
  <c r="K26" i="11"/>
  <c r="K43" i="11"/>
  <c r="K41" i="11"/>
  <c r="K42" i="11"/>
  <c r="K36" i="11"/>
  <c r="K45" i="11"/>
  <c r="K48" i="11"/>
  <c r="K40" i="11"/>
  <c r="K23" i="11"/>
  <c r="K24" i="11"/>
  <c r="K21" i="11"/>
  <c r="K22" i="11"/>
  <c r="K25" i="11"/>
  <c r="G86" i="11" l="1"/>
  <c r="G87" i="11"/>
  <c r="G88" i="11"/>
  <c r="G89" i="11"/>
  <c r="G90" i="11"/>
  <c r="D16" i="11"/>
  <c r="F97" i="11" l="1"/>
  <c r="F96" i="11"/>
  <c r="F95" i="11"/>
  <c r="F94" i="11"/>
  <c r="F93" i="11"/>
  <c r="D90" i="11"/>
  <c r="H90" i="11" s="1"/>
  <c r="E90" i="11"/>
  <c r="G84" i="11"/>
  <c r="G85" i="11"/>
  <c r="G91" i="11"/>
  <c r="G92" i="11"/>
  <c r="G93" i="11"/>
  <c r="G94" i="11"/>
  <c r="G95" i="11"/>
  <c r="G96" i="11"/>
  <c r="G97" i="11"/>
  <c r="D84" i="11"/>
  <c r="H84" i="11" s="1"/>
  <c r="E84" i="11"/>
  <c r="D85" i="11"/>
  <c r="J85" i="11" s="1"/>
  <c r="E85" i="11"/>
  <c r="D86" i="11"/>
  <c r="I86" i="11" s="1"/>
  <c r="E86" i="11"/>
  <c r="D87" i="11"/>
  <c r="E87" i="11"/>
  <c r="D88" i="11"/>
  <c r="E88" i="11"/>
  <c r="D89" i="11"/>
  <c r="E89" i="11"/>
  <c r="D91" i="11"/>
  <c r="I91" i="11" s="1"/>
  <c r="E91" i="11"/>
  <c r="D92" i="11"/>
  <c r="H92" i="11" s="1"/>
  <c r="E92" i="11"/>
  <c r="D93" i="11"/>
  <c r="H93" i="11" s="1"/>
  <c r="E93" i="11"/>
  <c r="D94" i="11"/>
  <c r="J94" i="11" s="1"/>
  <c r="E94" i="11"/>
  <c r="D95" i="11"/>
  <c r="E95" i="11"/>
  <c r="D96" i="11"/>
  <c r="H96" i="11" s="1"/>
  <c r="E96" i="11"/>
  <c r="D97" i="11"/>
  <c r="H97" i="11" s="1"/>
  <c r="E97" i="11"/>
  <c r="G15" i="11"/>
  <c r="G16" i="11"/>
  <c r="G18" i="11"/>
  <c r="I95" i="11" l="1"/>
  <c r="J90" i="11"/>
  <c r="I90" i="11"/>
  <c r="H88" i="11"/>
  <c r="J89" i="11"/>
  <c r="H87" i="11"/>
  <c r="J93" i="11"/>
  <c r="H91" i="11"/>
  <c r="H85" i="11"/>
  <c r="I94" i="11"/>
  <c r="J88" i="11"/>
  <c r="H86" i="11"/>
  <c r="H94" i="11"/>
  <c r="J92" i="11"/>
  <c r="I89" i="11"/>
  <c r="J84" i="11"/>
  <c r="H95" i="11"/>
  <c r="H89" i="11"/>
  <c r="J87" i="11"/>
  <c r="I85" i="11"/>
  <c r="J97" i="11"/>
  <c r="I97" i="11"/>
  <c r="J96" i="11"/>
  <c r="I93" i="11"/>
  <c r="I88" i="11"/>
  <c r="I84" i="11"/>
  <c r="I96" i="11"/>
  <c r="K96" i="11" s="1"/>
  <c r="J95" i="11"/>
  <c r="I92" i="11"/>
  <c r="J91" i="11"/>
  <c r="I87" i="11"/>
  <c r="J86" i="11"/>
  <c r="K93" i="11" l="1"/>
  <c r="K90" i="11"/>
  <c r="K89" i="11"/>
  <c r="K87" i="11"/>
  <c r="K97" i="11"/>
  <c r="K95" i="11"/>
  <c r="K94" i="11"/>
  <c r="K92" i="11"/>
  <c r="K88" i="11"/>
  <c r="K86" i="11"/>
  <c r="K91" i="11"/>
  <c r="K84" i="11"/>
  <c r="K85" i="11"/>
  <c r="D8" i="59" l="1"/>
  <c r="E16" i="11"/>
  <c r="E18" i="11"/>
  <c r="D104" i="11" l="1"/>
  <c r="J104" i="11" s="1"/>
  <c r="D15" i="11"/>
  <c r="D18" i="11"/>
  <c r="D19" i="11"/>
  <c r="K6" i="60"/>
  <c r="M105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E79" i="11"/>
  <c r="D79" i="11"/>
  <c r="E78" i="11"/>
  <c r="D78" i="11"/>
  <c r="E77" i="11"/>
  <c r="D77" i="11"/>
  <c r="E76" i="11"/>
  <c r="D76" i="11"/>
  <c r="E75" i="11"/>
  <c r="D75" i="11"/>
  <c r="E74" i="11"/>
  <c r="D74" i="11"/>
  <c r="E73" i="11"/>
  <c r="D73" i="11"/>
  <c r="E72" i="11"/>
  <c r="D72" i="11"/>
  <c r="E71" i="11"/>
  <c r="D71" i="11"/>
  <c r="E70" i="11"/>
  <c r="D70" i="11"/>
  <c r="E69" i="11"/>
  <c r="D69" i="11"/>
  <c r="E68" i="11"/>
  <c r="D68" i="11"/>
  <c r="E67" i="11"/>
  <c r="D67" i="11"/>
  <c r="E66" i="11"/>
  <c r="D66" i="11"/>
  <c r="E65" i="11"/>
  <c r="D65" i="11"/>
  <c r="E64" i="11"/>
  <c r="D64" i="11"/>
  <c r="E63" i="11"/>
  <c r="D63" i="11"/>
  <c r="E62" i="11"/>
  <c r="D62" i="11"/>
  <c r="E61" i="11"/>
  <c r="D61" i="11"/>
  <c r="E60" i="11"/>
  <c r="D60" i="11"/>
  <c r="E59" i="11"/>
  <c r="D59" i="11"/>
  <c r="E58" i="11"/>
  <c r="D58" i="11"/>
  <c r="M58" i="11"/>
  <c r="D14" i="59"/>
  <c r="D5" i="60" s="1"/>
  <c r="K5" i="60" s="1"/>
  <c r="E19" i="11"/>
  <c r="E15" i="11"/>
  <c r="A15" i="11"/>
  <c r="D19" i="59"/>
  <c r="D8" i="60" s="1"/>
  <c r="D18" i="59"/>
  <c r="M16" i="11"/>
  <c r="M83" i="11"/>
  <c r="E104" i="11"/>
  <c r="G104" i="11"/>
  <c r="D14" i="11"/>
  <c r="H14" i="11" s="1"/>
  <c r="E14" i="11"/>
  <c r="G14" i="11"/>
  <c r="K19" i="60"/>
  <c r="D19" i="60"/>
  <c r="M104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7" i="60"/>
  <c r="K18" i="60"/>
  <c r="K17" i="60"/>
  <c r="D17" i="60"/>
  <c r="D18" i="60"/>
  <c r="D20" i="60"/>
  <c r="D6" i="60"/>
  <c r="D105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05" i="11"/>
  <c r="D106" i="11"/>
  <c r="E106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106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05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13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92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C359" i="29"/>
  <c r="D359" i="29" s="1"/>
  <c r="F359" i="29" s="1"/>
  <c r="C330" i="29"/>
  <c r="D330" i="29" s="1"/>
  <c r="C356" i="29"/>
  <c r="D356" i="29" s="1"/>
  <c r="C355" i="29"/>
  <c r="D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D9" i="60" l="1"/>
  <c r="J58" i="11"/>
  <c r="H58" i="11"/>
  <c r="I58" i="11"/>
  <c r="I60" i="11"/>
  <c r="H60" i="11"/>
  <c r="J60" i="11"/>
  <c r="J62" i="11"/>
  <c r="H62" i="11"/>
  <c r="I62" i="11"/>
  <c r="I64" i="11"/>
  <c r="H64" i="11"/>
  <c r="J64" i="11"/>
  <c r="H66" i="11"/>
  <c r="I66" i="11"/>
  <c r="J66" i="11"/>
  <c r="I68" i="11"/>
  <c r="J68" i="11"/>
  <c r="H68" i="11"/>
  <c r="H70" i="11"/>
  <c r="I70" i="11"/>
  <c r="J70" i="11"/>
  <c r="I72" i="11"/>
  <c r="J72" i="11"/>
  <c r="H72" i="11"/>
  <c r="H74" i="11"/>
  <c r="I74" i="11"/>
  <c r="J74" i="11"/>
  <c r="I76" i="11"/>
  <c r="J76" i="11"/>
  <c r="H76" i="11"/>
  <c r="H78" i="11"/>
  <c r="I78" i="11"/>
  <c r="J78" i="11"/>
  <c r="J59" i="11"/>
  <c r="I59" i="11"/>
  <c r="H59" i="11"/>
  <c r="H61" i="11"/>
  <c r="I61" i="11"/>
  <c r="J61" i="11"/>
  <c r="J63" i="11"/>
  <c r="I63" i="11"/>
  <c r="H63" i="11"/>
  <c r="H65" i="11"/>
  <c r="I65" i="11"/>
  <c r="J65" i="11"/>
  <c r="J67" i="11"/>
  <c r="H67" i="11"/>
  <c r="I67" i="11"/>
  <c r="H69" i="11"/>
  <c r="I69" i="11"/>
  <c r="J69" i="11"/>
  <c r="J71" i="11"/>
  <c r="H71" i="11"/>
  <c r="I71" i="11"/>
  <c r="H73" i="11"/>
  <c r="I73" i="11"/>
  <c r="J73" i="11"/>
  <c r="J75" i="11"/>
  <c r="H75" i="11"/>
  <c r="I75" i="11"/>
  <c r="H77" i="11"/>
  <c r="I77" i="11"/>
  <c r="J77" i="11"/>
  <c r="J79" i="11"/>
  <c r="H79" i="11"/>
  <c r="I79" i="11"/>
  <c r="H19" i="11"/>
  <c r="J19" i="11"/>
  <c r="I19" i="11"/>
  <c r="H15" i="11"/>
  <c r="I15" i="11"/>
  <c r="J15" i="11"/>
  <c r="H18" i="11"/>
  <c r="I18" i="11"/>
  <c r="J18" i="11"/>
  <c r="J16" i="11"/>
  <c r="H16" i="11"/>
  <c r="I16" i="11"/>
  <c r="D312" i="29"/>
  <c r="E312" i="29" s="1"/>
  <c r="D802" i="41"/>
  <c r="E802" i="41" s="1"/>
  <c r="D22" i="59"/>
  <c r="K8" i="60" s="1"/>
  <c r="D21" i="59"/>
  <c r="M93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94" i="11"/>
  <c r="M95" i="11"/>
  <c r="M97" i="11"/>
  <c r="M96" i="11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E1048" i="41"/>
  <c r="E1170" i="41"/>
  <c r="E1130" i="41"/>
  <c r="E1136" i="41"/>
  <c r="E813" i="41"/>
  <c r="E1106" i="41"/>
  <c r="E895" i="41"/>
  <c r="E1053" i="41"/>
  <c r="F769" i="41"/>
  <c r="E1080" i="41"/>
  <c r="E1303" i="41"/>
  <c r="E891" i="41"/>
  <c r="E955" i="41"/>
  <c r="E1306" i="41"/>
  <c r="E918" i="41"/>
  <c r="E1103" i="41"/>
  <c r="E986" i="41"/>
  <c r="F797" i="4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F866" i="41"/>
  <c r="E1029" i="41"/>
  <c r="E784" i="41"/>
  <c r="E973" i="41"/>
  <c r="F322" i="29"/>
  <c r="F250" i="29"/>
  <c r="E273" i="29"/>
  <c r="E1292" i="41"/>
  <c r="E1132" i="41"/>
  <c r="E939" i="41"/>
  <c r="E781" i="41"/>
  <c r="E818" i="41"/>
  <c r="E1203" i="41"/>
  <c r="E952" i="41"/>
  <c r="E1090" i="41"/>
  <c r="F229" i="29"/>
  <c r="F868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F864" i="41"/>
  <c r="E1199" i="41"/>
  <c r="E1035" i="41"/>
  <c r="E1182" i="41"/>
  <c r="E1016" i="41"/>
  <c r="E791" i="41"/>
  <c r="F849" i="41"/>
  <c r="F858" i="41"/>
  <c r="F774" i="41"/>
  <c r="E798" i="41"/>
  <c r="E735" i="41"/>
  <c r="E1114" i="4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F806" i="41"/>
  <c r="E1081" i="41"/>
  <c r="E1027" i="41"/>
  <c r="F861" i="41"/>
  <c r="E861" i="41"/>
  <c r="E230" i="29"/>
  <c r="E346" i="29"/>
  <c r="E274" i="29"/>
  <c r="F274" i="29"/>
  <c r="H106" i="11"/>
  <c r="J106" i="11"/>
  <c r="E340" i="29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J14" i="11"/>
  <c r="E1149" i="41"/>
  <c r="F833" i="4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E749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E287" i="29"/>
  <c r="F287" i="29"/>
  <c r="E348" i="29"/>
  <c r="E59" i="39"/>
  <c r="E290" i="29"/>
  <c r="F323" i="29"/>
  <c r="E260" i="29"/>
  <c r="E236" i="29"/>
  <c r="E73" i="39"/>
  <c r="E341" i="29"/>
  <c r="F341" i="29"/>
  <c r="E284" i="29"/>
  <c r="F233" i="29"/>
  <c r="E58" i="39"/>
  <c r="F319" i="29"/>
  <c r="F310" i="29"/>
  <c r="M91" i="11"/>
  <c r="E725" i="41"/>
  <c r="F725" i="41"/>
  <c r="E777" i="41"/>
  <c r="F777" i="41"/>
  <c r="E1291" i="41"/>
  <c r="E1143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I106" i="11"/>
  <c r="I104" i="11"/>
  <c r="H104" i="11"/>
  <c r="F784" i="41" l="1"/>
  <c r="F294" i="29"/>
  <c r="F830" i="41"/>
  <c r="F340" i="29"/>
  <c r="K58" i="11"/>
  <c r="K76" i="11"/>
  <c r="K66" i="11"/>
  <c r="K59" i="11"/>
  <c r="M59" i="11" s="1"/>
  <c r="K72" i="11"/>
  <c r="M72" i="11" s="1"/>
  <c r="K62" i="11"/>
  <c r="M62" i="11" s="1"/>
  <c r="K75" i="11"/>
  <c r="M75" i="11" s="1"/>
  <c r="K73" i="11"/>
  <c r="M73" i="11" s="1"/>
  <c r="K67" i="11"/>
  <c r="M67" i="11" s="1"/>
  <c r="K65" i="11"/>
  <c r="M65" i="11" s="1"/>
  <c r="K78" i="11"/>
  <c r="M78" i="11" s="1"/>
  <c r="K70" i="11"/>
  <c r="M70" i="11" s="1"/>
  <c r="K64" i="11"/>
  <c r="M64" i="11" s="1"/>
  <c r="K63" i="11"/>
  <c r="M63" i="11" s="1"/>
  <c r="K68" i="11"/>
  <c r="M68" i="11" s="1"/>
  <c r="K79" i="11"/>
  <c r="M79" i="11" s="1"/>
  <c r="K77" i="11"/>
  <c r="M77" i="11" s="1"/>
  <c r="K71" i="11"/>
  <c r="M71" i="11" s="1"/>
  <c r="K69" i="11"/>
  <c r="M69" i="11" s="1"/>
  <c r="K61" i="11"/>
  <c r="M61" i="11" s="1"/>
  <c r="K74" i="11"/>
  <c r="M74" i="11" s="1"/>
  <c r="K60" i="11"/>
  <c r="F789" i="41"/>
  <c r="F315" i="29"/>
  <c r="F805" i="41"/>
  <c r="F299" i="29"/>
  <c r="F790" i="41"/>
  <c r="F300" i="29"/>
  <c r="F845" i="41"/>
  <c r="F814" i="41"/>
  <c r="F324" i="29"/>
  <c r="F355" i="29"/>
  <c r="F810" i="41"/>
  <c r="F320" i="29"/>
  <c r="K19" i="11"/>
  <c r="F783" i="41"/>
  <c r="F293" i="29"/>
  <c r="F838" i="4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84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18" i="11"/>
  <c r="M18" i="11" s="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F60" i="39"/>
  <c r="D9" i="59"/>
  <c r="K7" i="54" s="1"/>
  <c r="C7" i="54"/>
  <c r="C8" i="54"/>
  <c r="K14" i="11"/>
  <c r="M14" i="11" s="1"/>
  <c r="M19" i="11"/>
  <c r="M103" i="11"/>
  <c r="K106" i="11"/>
  <c r="M80" i="11"/>
  <c r="F350" i="29"/>
  <c r="M76" i="11"/>
  <c r="K104" i="11"/>
  <c r="H105" i="11"/>
  <c r="H108" i="11" s="1"/>
  <c r="F312" i="29"/>
  <c r="F339" i="29"/>
  <c r="F226" i="29"/>
  <c r="F345" i="29"/>
  <c r="F239" i="29"/>
  <c r="I105" i="11"/>
  <c r="I108" i="11" s="1"/>
  <c r="J105" i="11"/>
  <c r="J108" i="11" s="1"/>
  <c r="M60" i="11"/>
  <c r="M66" i="1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109" i="11"/>
  <c r="J110" i="11" s="1"/>
  <c r="H109" i="11"/>
  <c r="H110" i="11" s="1"/>
  <c r="I109" i="11"/>
  <c r="I110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D23" i="39"/>
  <c r="B23" i="39"/>
  <c r="E23" i="39" s="1"/>
  <c r="G23" i="39"/>
  <c r="D28" i="39"/>
  <c r="B26" i="39"/>
  <c r="E26" i="39" s="1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21" i="39"/>
  <c r="B21" i="39"/>
  <c r="E21" i="39" s="1"/>
  <c r="G21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105" i="11"/>
  <c r="K108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D67" i="29" l="1"/>
  <c r="D106" i="29"/>
  <c r="J106" i="29" s="1"/>
  <c r="D68" i="29"/>
  <c r="H68" i="29" s="1"/>
  <c r="G25" i="39"/>
  <c r="D92" i="29"/>
  <c r="I92" i="29" s="1"/>
  <c r="B124" i="29"/>
  <c r="E124" i="29" s="1"/>
  <c r="D148" i="29"/>
  <c r="J148" i="29" s="1"/>
  <c r="D90" i="29"/>
  <c r="H90" i="29" s="1"/>
  <c r="G18" i="39"/>
  <c r="G77" i="29"/>
  <c r="I30" i="39"/>
  <c r="G133" i="29"/>
  <c r="G29" i="39"/>
  <c r="G24" i="29"/>
  <c r="H24" i="29" s="1"/>
  <c r="D124" i="29"/>
  <c r="H124" i="29" s="1"/>
  <c r="D33" i="39"/>
  <c r="J33" i="39" s="1"/>
  <c r="B112" i="29"/>
  <c r="E112" i="29" s="1"/>
  <c r="B149" i="29"/>
  <c r="E149" i="29" s="1"/>
  <c r="D85" i="29"/>
  <c r="I85" i="29" s="1"/>
  <c r="B33" i="39"/>
  <c r="E33" i="39" s="1"/>
  <c r="D115" i="29"/>
  <c r="J115" i="29" s="1"/>
  <c r="G112" i="29"/>
  <c r="D58" i="29"/>
  <c r="J58" i="29" s="1"/>
  <c r="B33" i="29"/>
  <c r="E33" i="29" s="1"/>
  <c r="G143" i="29"/>
  <c r="B18" i="39"/>
  <c r="E18" i="39" s="1"/>
  <c r="D29" i="39"/>
  <c r="I29" i="39" s="1"/>
  <c r="B28" i="39"/>
  <c r="E28" i="39" s="1"/>
  <c r="D20" i="39"/>
  <c r="J20" i="39" s="1"/>
  <c r="B38" i="29"/>
  <c r="E38" i="29" s="1"/>
  <c r="G85" i="29"/>
  <c r="G115" i="29"/>
  <c r="G58" i="29"/>
  <c r="D122" i="29"/>
  <c r="I122" i="29" s="1"/>
  <c r="D143" i="29"/>
  <c r="H143" i="29" s="1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J132" i="29" s="1"/>
  <c r="G32" i="39"/>
  <c r="D18" i="29"/>
  <c r="I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H23" i="29" s="1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109" i="11"/>
  <c r="K110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138" i="29"/>
  <c r="J138" i="29"/>
  <c r="I138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J85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H106" i="29"/>
  <c r="J100" i="29"/>
  <c r="I100" i="29"/>
  <c r="H100" i="29"/>
  <c r="I25" i="29"/>
  <c r="J25" i="29"/>
  <c r="H97" i="29"/>
  <c r="I97" i="29"/>
  <c r="J97" i="29"/>
  <c r="J158" i="29"/>
  <c r="H158" i="29"/>
  <c r="I158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J18" i="29"/>
  <c r="I160" i="29"/>
  <c r="H160" i="29"/>
  <c r="J160" i="29"/>
  <c r="J113" i="29"/>
  <c r="I33" i="29"/>
  <c r="H33" i="29"/>
  <c r="J33" i="29"/>
  <c r="H122" i="29"/>
  <c r="H67" i="29"/>
  <c r="J67" i="29"/>
  <c r="I67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H113" i="29" l="1"/>
  <c r="J143" i="29"/>
  <c r="H58" i="29"/>
  <c r="I143" i="29"/>
  <c r="J122" i="29"/>
  <c r="I106" i="29"/>
  <c r="I22" i="39"/>
  <c r="I68" i="29"/>
  <c r="I58" i="29"/>
  <c r="J29" i="39"/>
  <c r="H85" i="29"/>
  <c r="K85" i="29" s="1"/>
  <c r="I124" i="29"/>
  <c r="H148" i="29"/>
  <c r="H132" i="29"/>
  <c r="I90" i="29"/>
  <c r="H29" i="39"/>
  <c r="J124" i="29"/>
  <c r="I148" i="29"/>
  <c r="I132" i="29"/>
  <c r="H33" i="39"/>
  <c r="K30" i="39"/>
  <c r="I20" i="29"/>
  <c r="I33" i="39"/>
  <c r="I81" i="29"/>
  <c r="J90" i="29"/>
  <c r="H92" i="29"/>
  <c r="J92" i="29"/>
  <c r="I86" i="29"/>
  <c r="I17" i="39"/>
  <c r="J20" i="29"/>
  <c r="K20" i="29" s="1"/>
  <c r="J35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H18" i="29"/>
  <c r="K18" i="29" s="1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K60" i="29" s="1"/>
  <c r="J82" i="29"/>
  <c r="H145" i="29"/>
  <c r="I159" i="29"/>
  <c r="J19" i="29"/>
  <c r="H154" i="29"/>
  <c r="H19" i="29"/>
  <c r="H81" i="29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I111" i="29"/>
  <c r="H111" i="29"/>
  <c r="H105" i="29"/>
  <c r="J156" i="29"/>
  <c r="H91" i="29"/>
  <c r="K133" i="29"/>
  <c r="H66" i="29"/>
  <c r="I91" i="29"/>
  <c r="J66" i="29"/>
  <c r="K63" i="29"/>
  <c r="K112" i="29"/>
  <c r="K24" i="29"/>
  <c r="K116" i="29"/>
  <c r="K122" i="29"/>
  <c r="K160" i="29"/>
  <c r="K78" i="29"/>
  <c r="K107" i="29"/>
  <c r="K142" i="29"/>
  <c r="K29" i="29"/>
  <c r="K23" i="29"/>
  <c r="K150" i="29"/>
  <c r="K136" i="29"/>
  <c r="K147" i="29"/>
  <c r="K32" i="39"/>
  <c r="K38" i="29"/>
  <c r="K23" i="39"/>
  <c r="K97" i="29"/>
  <c r="K100" i="29"/>
  <c r="K73" i="29"/>
  <c r="K21" i="29"/>
  <c r="K72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11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33" i="39" l="1"/>
  <c r="K90" i="29"/>
  <c r="K41" i="29"/>
  <c r="K22" i="39"/>
  <c r="K124" i="29"/>
  <c r="K148" i="29"/>
  <c r="K29" i="39"/>
  <c r="K132" i="29"/>
  <c r="K92" i="29"/>
  <c r="K81" i="29"/>
  <c r="K157" i="29"/>
  <c r="K86" i="29"/>
  <c r="K17" i="39"/>
  <c r="K30" i="29"/>
  <c r="K35" i="29"/>
  <c r="K115" i="29"/>
  <c r="K47" i="29"/>
  <c r="K162" i="29"/>
  <c r="K34" i="3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<sst xmlns="http://schemas.openxmlformats.org/spreadsheetml/2006/main" count="4783" uniqueCount="1644">
  <si>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</si>
  <si>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</si>
  <si>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</si>
  <si>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</si>
  <si>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</si>
  <si>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</si>
  <si>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</si>
  <si>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</si>
  <si>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</si>
  <si>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</si>
  <si>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</si>
  <si>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</si>
  <si>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</si>
  <si>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</si>
  <si>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</si>
  <si>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</si>
  <si>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</si>
  <si>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</si>
  <si>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</si>
  <si>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</si>
  <si>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</si>
  <si>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</si>
  <si>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</si>
  <si>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</si>
  <si>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</si>
  <si>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</si>
  <si>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</si>
  <si>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</si>
  <si>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</si>
  <si>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</si>
  <si>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</si>
  <si>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</si>
  <si>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</si>
  <si>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</si>
  <si>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</si>
  <si>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</si>
  <si>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</si>
  <si>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</si>
  <si>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</si>
  <si>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</si>
  <si>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</si>
  <si>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</si>
  <si>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</si>
  <si>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</si>
  <si>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</si>
  <si>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</si>
  <si>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</si>
  <si>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</si>
  <si>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</si>
  <si>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</si>
  <si>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</si>
  <si>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</si>
  <si>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</si>
  <si>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</si>
  <si>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</si>
  <si>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</si>
  <si>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</si>
  <si>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</si>
  <si>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</si>
  <si>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</si>
  <si>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</si>
  <si>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</si>
  <si>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</si>
  <si>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</si>
  <si>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</si>
  <si>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</si>
  <si>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</si>
  <si>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</si>
  <si>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</si>
  <si>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</si>
  <si>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</si>
  <si>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</si>
  <si>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</si>
  <si>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</si>
  <si>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</si>
  <si>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</si>
  <si>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</si>
  <si>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</si>
  <si>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</si>
  <si>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</si>
  <si>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</si>
  <si>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</si>
  <si>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</si>
  <si>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</si>
  <si>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</si>
  <si>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</si>
  <si>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</si>
  <si>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</si>
  <si>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</si>
  <si>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</si>
  <si>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</si>
  <si>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</si>
  <si>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</si>
  <si>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</si>
  <si>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</si>
  <si>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</si>
  <si>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</si>
  <si>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</si>
  <si>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</si>
  <si>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</si>
  <si>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</si>
  <si>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</si>
  <si>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</si>
  <si>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</si>
  <si>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</si>
  <si>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</si>
  <si>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</si>
  <si>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</si>
  <si>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</si>
  <si>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</si>
  <si>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</si>
  <si>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</si>
  <si>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</si>
  <si>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</si>
  <si>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</si>
  <si>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</si>
  <si>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</si>
  <si>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</si>
  <si>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</si>
  <si>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</si>
  <si>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</si>
  <si>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</si>
  <si>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</si>
  <si>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</si>
  <si>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</si>
  <si>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</si>
  <si>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</si>
  <si>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</si>
  <si>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</si>
  <si>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</si>
  <si>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</si>
  <si>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</si>
  <si>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</si>
  <si>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</si>
  <si>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</si>
  <si>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</si>
  <si>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</si>
  <si>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</si>
  <si>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</si>
  <si>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</si>
  <si>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</si>
  <si>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</si>
  <si>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</si>
  <si>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</si>
  <si>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</si>
  <si>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</si>
  <si>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</si>
  <si>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</si>
  <si>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</si>
  <si>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</si>
  <si>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</si>
  <si>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</si>
  <si>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</si>
  <si>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</si>
  <si>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</si>
  <si>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</si>
  <si>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</si>
  <si>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</si>
  <si>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</si>
  <si>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</si>
  <si>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</si>
  <si>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</si>
  <si>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</si>
  <si>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</si>
  <si>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</si>
  <si>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</si>
  <si>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</si>
  <si>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</si>
  <si>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</si>
  <si>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</si>
  <si>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</si>
  <si>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</si>
  <si>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</si>
  <si>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</si>
  <si>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</si>
  <si>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</si>
  <si>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</si>
  <si>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</si>
  <si>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</si>
  <si>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</si>
  <si>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</si>
  <si>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</si>
  <si>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</si>
  <si>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</si>
  <si>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</si>
  <si>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</si>
  <si>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</si>
  <si>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</si>
  <si>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</si>
  <si>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</si>
  <si>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</si>
  <si>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</si>
  <si>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</si>
  <si>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</si>
  <si>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</si>
  <si>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</si>
  <si>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</si>
  <si>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</si>
  <si>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</si>
  <si>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</si>
  <si>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</si>
  <si>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</si>
  <si>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</si>
  <si>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</si>
  <si>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</si>
  <si>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</si>
  <si>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</si>
  <si>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</si>
  <si>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</si>
  <si>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</si>
  <si>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</si>
  <si>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</si>
  <si>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</si>
  <si>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</si>
  <si>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</si>
  <si>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</si>
  <si>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</si>
  <si>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</si>
  <si>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</si>
  <si>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</si>
  <si>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</si>
  <si>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</si>
  <si>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</si>
  <si>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</si>
  <si>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</si>
  <si>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</si>
  <si>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</si>
  <si>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</si>
  <si>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</si>
  <si>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</si>
  <si>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</si>
  <si>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</si>
  <si>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</si>
  <si>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</si>
  <si>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</si>
  <si>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</si>
  <si>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</si>
  <si>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</si>
  <si>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</si>
  <si>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</si>
  <si>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</si>
  <si>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</si>
  <si>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</si>
  <si>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</si>
  <si>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</si>
  <si>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</si>
  <si>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</si>
  <si>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</si>
  <si>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</si>
  <si>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</si>
  <si>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</si>
  <si>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</si>
  <si>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</si>
  <si>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</si>
  <si>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</si>
  <si>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</si>
  <si>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</si>
  <si>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</si>
  <si>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</si>
  <si>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</si>
  <si>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</si>
  <si>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</si>
  <si>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</si>
  <si>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</si>
  <si>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</si>
  <si>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</si>
  <si>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</si>
  <si>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</si>
  <si>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</si>
  <si>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</si>
  <si>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</si>
  <si>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</si>
  <si>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</si>
  <si>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</si>
  <si>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</si>
  <si>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</si>
  <si>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</si>
  <si>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</si>
  <si>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</si>
  <si>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</si>
  <si>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</si>
  <si>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</si>
  <si>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</si>
  <si>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</si>
  <si>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</si>
  <si>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</si>
  <si>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</si>
  <si>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</si>
  <si>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</si>
  <si>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</si>
  <si>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</si>
  <si>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</si>
  <si>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</si>
  <si>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</si>
  <si>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</si>
  <si>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</si>
  <si>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</si>
  <si>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</si>
  <si>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</si>
  <si>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</si>
  <si>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</si>
  <si>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</si>
  <si>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</si>
  <si>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</si>
  <si>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</si>
  <si>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</si>
  <si>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</si>
  <si>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</si>
  <si>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</si>
  <si>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</si>
  <si>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</si>
  <si>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</si>
  <si>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</si>
  <si>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</si>
  <si>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</si>
  <si>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</si>
  <si>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</si>
  <si>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</si>
  <si>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</si>
  <si>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</si>
  <si>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</si>
  <si>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</si>
  <si>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</si>
  <si>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</si>
  <si>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</si>
  <si>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</si>
  <si>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</si>
  <si>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</si>
  <si>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</si>
  <si>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</si>
  <si>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</si>
  <si>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</si>
  <si>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</si>
  <si>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</si>
  <si>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</si>
  <si>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</si>
  <si>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</si>
  <si>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</si>
  <si>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</si>
  <si>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</si>
  <si>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</si>
  <si>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</si>
  <si>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</si>
  <si>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</si>
  <si>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</si>
  <si>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</si>
  <si>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</si>
  <si>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</si>
  <si>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</si>
  <si>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</si>
  <si>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</si>
  <si>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</si>
  <si>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</si>
  <si>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</si>
  <si>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</si>
  <si>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</si>
  <si>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</si>
  <si>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</si>
  <si>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</si>
  <si>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</si>
  <si>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</si>
  <si>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</si>
  <si>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</si>
  <si>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</si>
  <si>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</si>
  <si>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</si>
  <si>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</si>
  <si>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</si>
  <si>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</si>
  <si>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</si>
  <si>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</si>
  <si>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</si>
  <si>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</si>
  <si>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</si>
  <si>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</si>
  <si>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</si>
  <si>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</si>
  <si>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</si>
  <si>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</si>
  <si>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</si>
  <si>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</si>
  <si>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</si>
  <si>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</si>
  <si>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</si>
  <si>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</si>
  <si>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</si>
  <si>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</si>
  <si>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</si>
  <si>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</si>
  <si>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</si>
  <si>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</si>
  <si>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</si>
  <si>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</si>
  <si>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</si>
  <si>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</si>
  <si>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</si>
  <si>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</si>
  <si>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</si>
  <si>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</si>
  <si>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</si>
  <si>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</si>
  <si>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</si>
  <si>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</si>
  <si>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</si>
  <si>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</si>
  <si>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</si>
  <si>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</si>
  <si>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</si>
  <si>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</si>
  <si>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</si>
  <si>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</si>
  <si>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</si>
  <si>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</si>
  <si>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</si>
  <si>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</si>
  <si>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</si>
  <si>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</si>
  <si>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</si>
  <si>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</si>
  <si>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</si>
  <si>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</si>
  <si>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</si>
  <si>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</si>
  <si>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</si>
  <si>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</si>
  <si>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</si>
  <si>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</si>
  <si>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</si>
  <si>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</si>
  <si>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</si>
  <si>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</si>
  <si>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</si>
  <si>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</si>
  <si>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</si>
  <si>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</si>
  <si>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</si>
  <si>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</si>
  <si>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</si>
  <si>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</si>
  <si>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</si>
  <si>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</si>
  <si>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</si>
  <si>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</si>
  <si>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</si>
  <si>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</si>
  <si>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</si>
  <si>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</si>
  <si>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</si>
  <si>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</si>
  <si>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</si>
  <si>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</si>
  <si>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</si>
  <si>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</si>
  <si>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</si>
  <si>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</si>
  <si>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</si>
  <si>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</si>
  <si>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</si>
  <si>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</si>
  <si>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</si>
  <si>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</si>
  <si>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</si>
  <si>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</si>
  <si>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</si>
  <si>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</si>
  <si>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</si>
  <si>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</si>
  <si>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</si>
  <si>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</si>
  <si>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</si>
  <si>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</si>
  <si>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</si>
  <si>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</si>
  <si>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</si>
  <si>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</si>
  <si>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</si>
  <si>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</si>
  <si>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</si>
  <si>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</si>
  <si>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</si>
  <si>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</si>
  <si>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</si>
  <si>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</si>
  <si>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</si>
  <si>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</si>
  <si>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</si>
  <si>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</si>
  <si>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</si>
  <si>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</si>
  <si>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</si>
  <si>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</si>
  <si>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</si>
  <si>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</si>
  <si>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</si>
  <si>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</si>
  <si>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</si>
  <si>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</si>
  <si>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</si>
  <si>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</si>
  <si>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</si>
  <si>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</si>
  <si>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</si>
  <si>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</si>
  <si>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</si>
  <si>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</si>
  <si>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</si>
  <si>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</si>
  <si>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</si>
  <si>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</si>
  <si>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</si>
  <si>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</si>
  <si>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</si>
  <si>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</si>
  <si>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</si>
  <si>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</si>
  <si>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</si>
  <si>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</si>
  <si>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</si>
  <si>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</si>
  <si>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</si>
  <si>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</si>
  <si>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</si>
  <si>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</si>
  <si>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</si>
  <si>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</si>
  <si>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</si>
  <si>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</si>
  <si>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</si>
  <si>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</si>
  <si>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</si>
  <si>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</si>
  <si>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</si>
  <si>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</si>
  <si>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</si>
  <si>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</si>
  <si>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</si>
  <si>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</si>
  <si>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</si>
  <si>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</si>
  <si>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</si>
  <si>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</si>
  <si>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</si>
  <si>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</si>
  <si>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</si>
  <si>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</si>
  <si>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</si>
  <si>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</si>
  <si>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</si>
  <si>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</si>
  <si>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</si>
  <si>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</si>
  <si>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</si>
  <si>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</si>
  <si>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</si>
  <si>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</si>
  <si>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</si>
  <si>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</si>
  <si>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</si>
  <si>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</si>
  <si>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</si>
  <si>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</si>
  <si>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</si>
  <si>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</si>
  <si>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</si>
  <si>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</si>
  <si>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</si>
  <si>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</si>
  <si>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</si>
  <si>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</si>
  <si>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</si>
  <si>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</si>
  <si>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</si>
  <si>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</si>
  <si>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</si>
  <si>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</si>
  <si>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</si>
  <si>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</si>
  <si>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</si>
  <si>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</si>
  <si>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</si>
  <si>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</si>
  <si>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</si>
  <si>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</si>
  <si>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</si>
  <si>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</si>
  <si>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</si>
  <si>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</si>
  <si>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</si>
  <si>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</si>
  <si>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</si>
  <si>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</si>
  <si>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</si>
  <si>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</si>
  <si>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</si>
  <si>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</si>
  <si>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</si>
  <si>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</si>
  <si>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</si>
  <si>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</si>
  <si>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</si>
  <si>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</si>
  <si>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</si>
  <si>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</si>
  <si>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</si>
  <si>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</si>
  <si>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</si>
  <si>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</si>
  <si>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</si>
  <si>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</si>
  <si>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</si>
  <si>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</si>
  <si>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</si>
  <si>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</si>
  <si>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</si>
  <si>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</si>
  <si>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</si>
  <si>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</si>
  <si>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</si>
  <si>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</si>
  <si>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</si>
  <si>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</si>
  <si>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</si>
  <si>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</si>
  <si>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</si>
  <si>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</si>
  <si>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</si>
  <si>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</si>
  <si>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</si>
  <si>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</si>
  <si>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</si>
  <si>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</si>
  <si>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</si>
  <si>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</si>
  <si>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</si>
  <si>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</si>
  <si>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</si>
  <si>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</si>
  <si>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</si>
  <si>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</si>
  <si>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</si>
  <si>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</si>
  <si>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</si>
  <si>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</si>
  <si>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</si>
  <si>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</si>
  <si>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</si>
  <si>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</si>
  <si>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</si>
  <si>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</si>
  <si>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</si>
  <si>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</si>
  <si>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</si>
  <si>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</si>
  <si>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</si>
  <si>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</si>
  <si>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</si>
  <si>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</si>
  <si>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</si>
  <si>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</si>
  <si>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</si>
  <si>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</si>
  <si>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</si>
  <si>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</si>
  <si>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</si>
  <si>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</si>
  <si>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</si>
  <si>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</si>
  <si>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</si>
  <si>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</si>
  <si>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</si>
  <si>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</si>
  <si>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</si>
  <si>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</si>
  <si>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</si>
  <si>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</si>
  <si>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</si>
  <si>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</si>
  <si>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</si>
  <si>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</si>
  <si>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</si>
  <si>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</si>
  <si>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</si>
  <si>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</si>
  <si>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</si>
  <si>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</si>
  <si>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</si>
  <si>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</si>
  <si>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</si>
  <si>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</si>
  <si>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</si>
  <si>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</si>
  <si>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</si>
  <si>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</si>
  <si>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</si>
  <si>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</si>
  <si>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</si>
  <si>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</si>
  <si>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</si>
  <si>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</si>
  <si>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</si>
  <si>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</si>
  <si>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</si>
  <si>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</si>
  <si>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</si>
  <si>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</si>
  <si>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</si>
  <si>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</si>
  <si>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</si>
  <si>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</si>
  <si>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</si>
  <si>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</si>
  <si>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</si>
  <si>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</si>
  <si>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</si>
  <si>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</si>
  <si>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</si>
  <si>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</si>
  <si>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</si>
  <si>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</si>
  <si>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</si>
  <si>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</si>
  <si>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</si>
  <si>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</si>
  <si>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</si>
  <si>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</si>
  <si>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</si>
  <si>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</si>
  <si>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</si>
  <si>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</si>
  <si>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</si>
  <si>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</si>
  <si>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</si>
  <si>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</si>
  <si>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</si>
  <si>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</si>
  <si>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</si>
  <si>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</si>
  <si>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</si>
  <si>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</si>
  <si>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</si>
  <si>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</si>
  <si>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</si>
  <si>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</si>
  <si>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</si>
  <si>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</si>
  <si>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</si>
  <si>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</si>
  <si>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</si>
  <si>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</si>
  <si>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</si>
  <si>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</si>
  <si>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</si>
  <si>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</si>
  <si>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</si>
  <si>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</si>
  <si>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</si>
  <si>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</si>
  <si>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</si>
  <si>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</si>
  <si>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</si>
  <si>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</si>
  <si>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</si>
  <si>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</si>
  <si>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</si>
  <si>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</si>
  <si>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</si>
  <si>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</si>
  <si>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</si>
  <si>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</si>
  <si>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</si>
  <si>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</si>
  <si>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</si>
  <si>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</si>
  <si>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</si>
  <si>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</si>
  <si>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</si>
  <si>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</si>
  <si>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</si>
  <si>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</si>
  <si>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</si>
  <si>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</si>
  <si>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</si>
  <si>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</si>
  <si>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</si>
  <si>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</si>
  <si>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</si>
  <si>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</si>
  <si>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</si>
  <si>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</si>
  <si>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</si>
  <si>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</si>
  <si>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</si>
  <si>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</si>
  <si>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</si>
  <si>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</si>
  <si>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</si>
  <si>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</si>
  <si>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</si>
  <si>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</si>
  <si>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</si>
  <si>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</si>
  <si>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</si>
  <si>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</si>
  <si>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</si>
  <si>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</si>
  <si>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</si>
  <si>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</si>
  <si>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</si>
  <si>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</si>
  <si>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</si>
  <si>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</si>
  <si>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</si>
  <si>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</si>
  <si>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</si>
  <si>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</si>
  <si>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</si>
  <si>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</si>
  <si>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</si>
  <si>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</si>
  <si>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</si>
  <si>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</si>
  <si>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</si>
  <si>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</si>
  <si>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</si>
  <si>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</si>
  <si>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</si>
  <si>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</si>
  <si>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</si>
  <si>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</si>
  <si>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</si>
  <si>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</si>
  <si>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</si>
  <si>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</si>
  <si>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</si>
  <si>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</si>
  <si>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</si>
  <si>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</si>
  <si>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</si>
  <si>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</si>
  <si>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</si>
  <si>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</si>
  <si>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</si>
  <si>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</si>
  <si>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</si>
  <si>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</si>
  <si>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</si>
  <si>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</si>
  <si>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</si>
  <si>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</si>
  <si>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</si>
  <si>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</si>
  <si>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</si>
  <si>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</si>
  <si>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</si>
  <si>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</si>
  <si>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</si>
  <si>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</si>
  <si>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</si>
  <si>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</si>
  <si>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</si>
  <si>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</si>
  <si>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</si>
  <si>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</si>
  <si>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</si>
  <si>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</si>
  <si>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</si>
  <si>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</si>
  <si>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</si>
  <si>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</si>
  <si>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</si>
  <si>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</si>
  <si>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</si>
  <si>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</si>
  <si>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</si>
  <si>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</si>
  <si>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</si>
  <si>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</si>
  <si>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</si>
  <si>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</si>
  <si>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</si>
  <si>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</si>
  <si>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</si>
  <si>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</si>
  <si>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</si>
  <si>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</si>
  <si>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</si>
  <si>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</si>
  <si>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</si>
  <si>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</si>
  <si>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</si>
  <si>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</si>
  <si>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</si>
  <si>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</si>
  <si>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</si>
  <si>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</si>
  <si>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</si>
  <si>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</si>
  <si>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</si>
  <si>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</si>
  <si>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</si>
  <si>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</si>
  <si>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</si>
  <si>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</si>
  <si>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</si>
  <si>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</si>
  <si>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</si>
  <si>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</si>
  <si>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</si>
  <si>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</si>
  <si>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</si>
  <si>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</si>
  <si>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</si>
  <si>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</si>
  <si>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</si>
  <si>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</si>
  <si>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</si>
  <si>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</si>
  <si>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</si>
  <si>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</si>
  <si>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</si>
  <si>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</si>
  <si>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</si>
  <si>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</si>
  <si>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</si>
  <si>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</si>
  <si>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</si>
  <si>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</si>
  <si>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</si>
  <si>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</si>
  <si>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</si>
  <si>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</si>
  <si>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</si>
  <si>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</si>
  <si>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</si>
  <si>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</si>
  <si>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</si>
  <si>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</si>
  <si>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</si>
  <si>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</si>
  <si>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</si>
  <si>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</si>
  <si>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</si>
  <si>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</si>
  <si>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</si>
  <si>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</si>
  <si>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</si>
  <si>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</si>
  <si>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</si>
  <si>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</si>
  <si>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</si>
  <si>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</si>
  <si>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</si>
  <si>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</si>
  <si>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</si>
  <si>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</si>
  <si>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</si>
  <si>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</si>
  <si>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</si>
  <si>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</si>
  <si>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</si>
  <si>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</si>
  <si>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</si>
  <si>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</si>
  <si>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</si>
  <si>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</si>
  <si>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</si>
  <si>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</si>
  <si>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</si>
  <si>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</si>
  <si>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</si>
  <si>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</si>
  <si>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</si>
  <si>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</si>
  <si>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</si>
  <si>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</si>
  <si>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</si>
  <si>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</si>
  <si>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</si>
  <si>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</si>
  <si>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</si>
  <si>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</si>
  <si>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</si>
  <si>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</si>
  <si>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</si>
  <si>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</si>
  <si>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</si>
  <si>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</si>
  <si>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</si>
  <si>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</si>
  <si>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</si>
  <si>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</si>
  <si>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</si>
  <si>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</si>
  <si>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</si>
  <si>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</si>
  <si>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</si>
  <si>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</si>
  <si>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</si>
  <si>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</si>
  <si>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</si>
  <si>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</si>
  <si>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</si>
  <si>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</si>
  <si>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</si>
  <si>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</si>
  <si>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</si>
  <si>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</si>
  <si>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</si>
  <si>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</si>
  <si>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</si>
  <si>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</si>
  <si>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</si>
  <si>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</si>
  <si>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</si>
  <si>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</si>
  <si>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</si>
  <si>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</si>
  <si>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</si>
  <si>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</si>
  <si>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</si>
  <si>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</si>
  <si>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</si>
  <si>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</si>
  <si>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</si>
  <si>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</si>
  <si>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</si>
  <si>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</si>
  <si>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</si>
  <si>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</si>
  <si>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</si>
  <si>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</si>
  <si>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</si>
  <si>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</si>
  <si>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</si>
  <si>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</si>
  <si>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</si>
  <si>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</si>
  <si>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</si>
  <si>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</si>
  <si>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</si>
  <si>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</si>
  <si>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</si>
  <si>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</si>
  <si>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</si>
  <si>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</si>
  <si>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</si>
  <si>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</si>
  <si>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</si>
  <si>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</si>
  <si>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</si>
  <si>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</si>
  <si>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</si>
  <si>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</si>
  <si>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</si>
  <si>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</si>
  <si>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</si>
  <si>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</si>
  <si>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</si>
  <si>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</si>
  <si>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</si>
  <si>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</si>
  <si>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</si>
  <si>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</si>
  <si>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</si>
  <si>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</si>
  <si>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</si>
  <si>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</si>
  <si>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</si>
  <si>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</si>
  <si>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</si>
  <si>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</si>
  <si>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</si>
  <si>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</si>
  <si>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</si>
  <si>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</si>
  <si>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</si>
  <si>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</si>
  <si>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</si>
  <si>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</si>
  <si>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</si>
  <si>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</si>
  <si>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</si>
  <si>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</si>
  <si>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</si>
  <si>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</si>
  <si>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</si>
  <si>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</si>
  <si>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</si>
  <si>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</si>
  <si>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</si>
  <si>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</si>
  <si>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</si>
  <si>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</si>
  <si>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</si>
  <si>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</si>
  <si>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</si>
  <si>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</si>
  <si>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</si>
  <si>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</si>
  <si>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</si>
  <si>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</si>
  <si>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</si>
  <si>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</si>
  <si>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</si>
  <si>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</si>
  <si>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</si>
  <si>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</si>
  <si>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</si>
  <si>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</si>
  <si>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</si>
  <si>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</si>
  <si>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</si>
  <si>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</si>
  <si>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</si>
  <si>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</si>
  <si>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</si>
  <si>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</si>
  <si>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</si>
  <si>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</si>
  <si>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</si>
  <si>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</si>
  <si>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</si>
  <si>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</si>
  <si>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</si>
  <si>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</si>
  <si>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</si>
  <si>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</si>
  <si>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</si>
  <si>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</si>
  <si>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</si>
  <si>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</si>
  <si>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</si>
  <si>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</si>
  <si>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</si>
  <si>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</si>
  <si>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</si>
  <si>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</si>
  <si>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</si>
  <si>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</si>
  <si>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</si>
  <si>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</si>
  <si>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</si>
  <si>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</si>
  <si>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</si>
  <si>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</si>
  <si>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</si>
  <si>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</si>
  <si>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</si>
  <si>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</si>
  <si>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</si>
  <si>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</si>
  <si>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</si>
  <si>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</si>
  <si>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</si>
  <si>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</si>
  <si>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</si>
  <si>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</si>
  <si>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</si>
  <si>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</si>
  <si>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</si>
  <si>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</si>
  <si>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</si>
  <si>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</si>
  <si>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</si>
  <si>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</si>
  <si>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</si>
  <si>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</si>
  <si>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</si>
  <si>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</si>
  <si>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</si>
  <si>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</si>
  <si>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</si>
  <si>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</si>
  <si>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</si>
  <si>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</si>
  <si>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</si>
  <si>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</si>
  <si>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</si>
  <si>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</si>
  <si>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</si>
  <si>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</si>
  <si>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</si>
  <si>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</si>
  <si>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</si>
  <si>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</si>
  <si>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</si>
  <si>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</si>
  <si>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</si>
  <si>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</si>
  <si>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</si>
  <si>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</si>
  <si>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</si>
  <si>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</si>
  <si>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</si>
  <si>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</si>
  <si>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</si>
  <si>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</si>
  <si>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</si>
  <si>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</si>
  <si>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</si>
  <si>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</si>
  <si>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</si>
  <si>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</si>
  <si>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</si>
  <si>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</si>
  <si>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</si>
  <si>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</si>
  <si>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</si>
  <si>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</si>
  <si>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</si>
  <si>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</si>
  <si>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</si>
  <si>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</si>
  <si>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</si>
  <si>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</si>
  <si>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</si>
  <si>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</si>
  <si>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</si>
  <si>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</si>
  <si>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</si>
  <si>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</si>
  <si>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</si>
  <si>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</si>
  <si>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</si>
  <si>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</si>
  <si>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</si>
  <si>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</si>
  <si>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</si>
  <si>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</si>
  <si>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</si>
  <si>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</si>
  <si>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</si>
  <si>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</si>
  <si>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</si>
  <si>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</si>
  <si>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</si>
  <si>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</si>
  <si>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</si>
  <si>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</si>
  <si>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</si>
  <si>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</si>
  <si>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</si>
  <si>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</si>
  <si>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</si>
  <si>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</si>
  <si>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</si>
  <si>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</si>
  <si>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</si>
  <si>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</si>
  <si>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</si>
  <si>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</si>
  <si>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</si>
  <si>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</si>
  <si>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</si>
  <si>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</si>
  <si>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</si>
  <si>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</si>
  <si>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</si>
  <si>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</si>
  <si>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</si>
  <si>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</si>
  <si>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</si>
  <si>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</si>
  <si>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</si>
  <si>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</si>
  <si>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</si>
  <si>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</si>
  <si>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</si>
  <si>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</si>
  <si>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</si>
  <si>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</si>
  <si>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</si>
  <si>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</si>
  <si>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</si>
  <si>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</si>
  <si>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</si>
  <si>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</si>
  <si>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</si>
  <si>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</si>
  <si>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</si>
  <si>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</si>
  <si>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</si>
  <si>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</si>
  <si>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</si>
  <si>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</si>
  <si>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</si>
  <si>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</si>
  <si>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</si>
  <si>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</si>
  <si>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</si>
  <si>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</si>
  <si>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</si>
  <si>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</si>
  <si>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</si>
  <si>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</si>
  <si>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</si>
  <si>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</si>
  <si>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</si>
  <si>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</si>
  <si>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</si>
  <si>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</si>
  <si>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</si>
  <si>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</si>
  <si>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</si>
  <si>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</si>
  <si>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</si>
  <si>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</si>
  <si>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</si>
  <si>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</si>
  <si>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</si>
  <si>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</si>
  <si>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</si>
  <si>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</si>
  <si>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</si>
  <si>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</si>
  <si>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</si>
  <si>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</si>
  <si>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</si>
  <si>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</si>
  <si>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</si>
  <si>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</si>
  <si>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</si>
  <si>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</si>
  <si>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</si>
  <si>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</si>
  <si>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</si>
  <si>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</si>
  <si>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</si>
  <si>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</si>
  <si>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</si>
  <si>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</si>
  <si>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</si>
  <si>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</si>
  <si>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</si>
  <si>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</si>
  <si>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</si>
  <si>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</si>
  <si>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</si>
  <si>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</si>
  <si>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</si>
  <si>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</si>
  <si>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</si>
  <si>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</si>
  <si>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</si>
  <si>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</si>
  <si>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</si>
  <si>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</si>
  <si>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</si>
  <si>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</si>
  <si>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</si>
  <si>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</si>
  <si>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</si>
  <si>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</si>
  <si>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</si>
  <si>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</si>
  <si>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</si>
  <si>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</si>
  <si>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</si>
  <si>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</si>
  <si>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</si>
  <si>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</si>
  <si>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</si>
  <si>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</si>
  <si>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</si>
  <si>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</si>
  <si>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</si>
  <si>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</si>
  <si>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</si>
  <si>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</si>
  <si>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</si>
  <si>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</si>
  <si>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</si>
  <si>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</si>
  <si>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</si>
  <si>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</si>
  <si>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</si>
  <si>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</si>
  <si>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</si>
  <si>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</si>
  <si>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</si>
  <si>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</si>
  <si>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</si>
  <si>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</si>
  <si>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</si>
  <si>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</si>
  <si>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</si>
  <si>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</si>
  <si>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</si>
  <si>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</si>
  <si>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</si>
  <si>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</si>
  <si>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</si>
  <si>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</si>
  <si>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</si>
  <si>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</si>
  <si>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</si>
  <si>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</si>
  <si>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</si>
  <si>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</si>
  <si>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</si>
  <si>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</si>
  <si>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</si>
  <si>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</si>
  <si>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</si>
  <si>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</si>
  <si>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</si>
  <si>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</si>
  <si>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</si>
  <si>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</si>
  <si>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</si>
  <si>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</si>
  <si>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</si>
  <si>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</si>
  <si>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</si>
  <si>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</si>
  <si>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</si>
  <si>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</si>
  <si>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</si>
  <si>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</si>
  <si>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</si>
  <si>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</si>
  <si>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</si>
  <si>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</si>
  <si>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</si>
  <si>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</si>
  <si>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</si>
  <si>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</si>
  <si>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</si>
  <si>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</si>
  <si>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</si>
  <si>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</si>
  <si>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</si>
  <si>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</si>
  <si>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</si>
  <si>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</si>
  <si>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</si>
  <si>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</si>
  <si>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</si>
  <si>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</si>
  <si>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</si>
  <si>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</si>
  <si>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</si>
  <si>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</si>
  <si>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</si>
  <si>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</si>
  <si>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</si>
  <si>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</si>
  <si>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</si>
  <si>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</si>
  <si>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</si>
  <si>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</si>
  <si>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</si>
  <si>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</si>
  <si>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</si>
  <si>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</si>
  <si>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</si>
  <si>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</si>
  <si>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</si>
  <si>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</si>
  <si>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</si>
  <si>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</si>
  <si>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</si>
  <si>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</si>
  <si>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</si>
  <si>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</si>
  <si>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</si>
  <si>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</si>
  <si>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</si>
  <si>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</si>
  <si>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</si>
  <si>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</si>
  <si>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</si>
  <si>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</si>
  <si>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</si>
  <si>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</si>
  <si>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</si>
  <si>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</si>
  <si>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</si>
  <si>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</si>
  <si>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</si>
  <si>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</si>
  <si>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</si>
  <si>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</si>
  <si>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</si>
  <si>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</si>
  <si>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</si>
  <si>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</si>
  <si>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</si>
  <si>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</si>
  <si>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</si>
  <si>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</si>
  <si>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</si>
  <si>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</si>
  <si>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</si>
  <si>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</si>
  <si>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</si>
  <si>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</si>
  <si>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</si>
  <si>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</si>
  <si>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</si>
  <si>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</si>
  <si>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</si>
  <si>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</si>
  <si>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</si>
  <si>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</si>
  <si>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</si>
  <si>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</si>
  <si>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</si>
  <si>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</si>
  <si>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</si>
  <si>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</si>
  <si>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</si>
  <si>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</si>
  <si>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</si>
  <si>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</si>
  <si>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</si>
  <si>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</si>
  <si>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</si>
  <si>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</si>
  <si>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</si>
  <si>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</si>
  <si>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</si>
  <si>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</si>
  <si>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</si>
  <si>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</si>
  <si>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</si>
  <si>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</si>
  <si>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</si>
  <si>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</si>
  <si>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</si>
  <si>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</si>
  <si>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</si>
  <si>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</si>
  <si>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</si>
  <si>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</si>
  <si>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</si>
  <si>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</si>
  <si>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</si>
  <si>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</si>
  <si>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</si>
  <si>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</si>
  <si>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</si>
  <si>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</si>
  <si>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</si>
  <si>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</si>
  <si>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</si>
  <si>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</si>
  <si>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</si>
  <si>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</si>
  <si>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</si>
  <si>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</si>
  <si>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</si>
  <si>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</si>
  <si>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</si>
  <si>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</si>
  <si>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</si>
  <si>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</si>
  <si>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</si>
  <si>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</si>
  <si>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</si>
  <si>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</si>
  <si>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</si>
  <si>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</si>
  <si>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</si>
  <si>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</si>
  <si>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</si>
  <si>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</si>
  <si>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</si>
  <si>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</si>
  <si>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</si>
  <si>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</si>
  <si>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</si>
  <si>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</si>
  <si>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</si>
  <si>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</si>
  <si>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</si>
  <si>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</si>
  <si>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</si>
  <si>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</si>
  <si>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</si>
  <si>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</si>
  <si>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</si>
  <si>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</si>
  <si>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</si>
  <si>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</si>
  <si>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</si>
  <si>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</si>
  <si>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</si>
  <si>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</si>
  <si>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</si>
  <si>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</si>
  <si>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</si>
  <si>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</si>
  <si>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</si>
  <si>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</si>
  <si>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</si>
  <si>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</si>
  <si>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</si>
  <si>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</si>
  <si>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</si>
  <si>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</si>
  <si>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</si>
  <si>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</si>
  <si>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</si>
  <si>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</si>
  <si>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</si>
  <si>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</si>
  <si>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</si>
  <si>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</si>
  <si>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</si>
  <si>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</si>
  <si>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</si>
  <si>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</si>
  <si>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</si>
  <si>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</si>
  <si>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</si>
  <si>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</si>
  <si>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</si>
  <si>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</si>
  <si>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</si>
  <si>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</si>
  <si>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</si>
  <si>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</si>
  <si>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</si>
  <si>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</si>
  <si>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CM2-11M</t>
  </si>
  <si>
    <t xml:space="preserve">Jumper Wire : </t>
  </si>
  <si>
    <t>NFA2X-T 3 x 70 + N 50 mm²</t>
  </si>
  <si>
    <t>Stainless Steel Strap 20 X 0.7 mm</t>
  </si>
  <si>
    <t>APP 3P 66KVA</t>
  </si>
  <si>
    <t>G312-A 100KVA</t>
  </si>
  <si>
    <t>LVTC 3X70+70</t>
  </si>
  <si>
    <t>MTR</t>
  </si>
  <si>
    <t>-7.115166, 110.911264</t>
  </si>
  <si>
    <t>Trafo 3 Fasa 100 KVA 1 Tiang (G312-A)</t>
  </si>
  <si>
    <t>Daya 66.000 VA</t>
  </si>
  <si>
    <t>PWI12</t>
  </si>
  <si>
    <t>APP 3P 23KVA</t>
  </si>
  <si>
    <t>PD ALI MUHMUDI 23-66KVA</t>
  </si>
  <si>
    <t>DS NAMBUHAN</t>
  </si>
  <si>
    <t>CJ6-T</t>
  </si>
  <si>
    <t>CJ5-T</t>
  </si>
  <si>
    <t>I2</t>
  </si>
  <si>
    <t>K2-629N/100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</si>
</sst>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57" fillId="0" borderId="0" applyFont="0" applyFill="0" applyBorder="0" applyAlignment="0" applyProtection="0"/>
    <xf numFmtId="41" fontId="169" fillId="0" borderId="0" applyFont="0" applyFill="0" applyBorder="0" applyAlignment="0" applyProtection="0"/>
    <xf numFmtId="0" fontId="20" fillId="0" borderId="0"/>
  </cellStyleXfs>
  <cellXfs count="727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44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3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right" vertical="center"/>
    </xf>
    <xf numFmtId="9" fontId="143" fillId="36" borderId="0" xfId="2671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0" fontId="143" fillId="36" borderId="0" xfId="2671" applyNumberFormat="1" applyFont="1" applyFill="1" applyBorder="1" applyAlignment="1" applyProtection="1">
      <alignment horizontal="right" vertical="center"/>
    </xf>
    <xf numFmtId="169" fontId="142" fillId="36" borderId="0" xfId="2672" applyNumberFormat="1" applyFont="1" applyFill="1" applyBorder="1" applyAlignment="1" applyProtection="1">
      <alignment horizontal="right" vertical="center"/>
    </xf>
    <xf numFmtId="0" fontId="136" fillId="0" borderId="0" xfId="2670" applyFont="1" applyAlignment="1">
      <alignment horizontal="left" vertical="center"/>
    </xf>
    <xf numFmtId="0" fontId="139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6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7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5" fillId="0" borderId="0" xfId="1614" applyFont="1" applyAlignment="1">
      <alignment horizontal="center"/>
    </xf>
    <xf numFmtId="0" fontId="146" fillId="0" borderId="0" xfId="1614" applyFont="1" applyAlignment="1">
      <alignment horizontal="center" vertical="center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3" fontId="145" fillId="0" borderId="0" xfId="1614" applyNumberFormat="1" applyFont="1" applyAlignment="1">
      <alignment horizontal="center"/>
    </xf>
    <xf numFmtId="0" fontId="150" fillId="0" borderId="0" xfId="1614" applyFont="1"/>
    <xf numFmtId="167" fontId="150" fillId="0" borderId="0" xfId="1652" applyNumberFormat="1" applyFont="1"/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left" vertical="center"/>
    </xf>
    <xf numFmtId="0" fontId="150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0" fontId="150" fillId="0" borderId="0" xfId="1614" applyFont="1" applyAlignment="1">
      <alignment horizontal="center" vertical="center" wrapText="1"/>
    </xf>
    <xf numFmtId="0" fontId="147" fillId="0" borderId="0" xfId="1614" applyFont="1" applyAlignment="1">
      <alignment horizontal="center" vertical="center" wrapText="1"/>
    </xf>
    <xf numFmtId="3" fontId="146" fillId="0" borderId="0" xfId="1614" applyNumberFormat="1" applyFont="1" applyAlignment="1">
      <alignment vertical="center"/>
    </xf>
    <xf numFmtId="0" fontId="147" fillId="0" borderId="20" xfId="1615" applyFont="1" applyBorder="1" applyAlignment="1">
      <alignment horizontal="center" vertical="center"/>
    </xf>
    <xf numFmtId="0" fontId="147" fillId="0" borderId="21" xfId="1615" applyFont="1" applyBorder="1" applyAlignment="1">
      <alignment horizontal="left" vertical="center" wrapText="1"/>
    </xf>
    <xf numFmtId="0" fontId="146" fillId="0" borderId="21" xfId="1614" applyFont="1" applyBorder="1" applyAlignment="1">
      <alignment horizontal="center" vertical="center" wrapText="1"/>
    </xf>
    <xf numFmtId="0" fontId="153" fillId="0" borderId="21" xfId="1614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46" fillId="0" borderId="21" xfId="1614" applyNumberFormat="1" applyFont="1" applyBorder="1" applyAlignment="1">
      <alignment horizontal="center" vertical="center"/>
    </xf>
    <xf numFmtId="3" fontId="146" fillId="0" borderId="22" xfId="1614" applyNumberFormat="1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/>
    </xf>
    <xf numFmtId="3" fontId="145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451" applyFont="1" applyBorder="1" applyAlignment="1">
      <alignment horizontal="left" vertical="center" wrapText="1"/>
    </xf>
    <xf numFmtId="0" fontId="148" fillId="0" borderId="21" xfId="1653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8" fillId="0" borderId="20" xfId="1653" applyFont="1" applyBorder="1" applyAlignment="1">
      <alignment horizontal="center" vertical="center"/>
    </xf>
    <xf numFmtId="0" fontId="148" fillId="0" borderId="21" xfId="1653" applyFont="1" applyBorder="1" applyAlignment="1">
      <alignment vertical="center" wrapText="1"/>
    </xf>
    <xf numFmtId="0" fontId="146" fillId="0" borderId="20" xfId="1652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53" fillId="0" borderId="21" xfId="1652" applyFont="1" applyBorder="1" applyAlignment="1">
      <alignment horizontal="center" vertical="center"/>
    </xf>
    <xf numFmtId="0" fontId="153" fillId="0" borderId="49" xfId="1652" applyFont="1" applyBorder="1" applyAlignment="1">
      <alignment horizontal="center" vertical="center"/>
    </xf>
    <xf numFmtId="0" fontId="153" fillId="0" borderId="3" xfId="1652" applyFont="1" applyBorder="1" applyAlignment="1">
      <alignment vertical="center" wrapText="1"/>
    </xf>
    <xf numFmtId="0" fontId="146" fillId="0" borderId="3" xfId="1614" applyFont="1" applyBorder="1" applyAlignment="1">
      <alignment horizontal="center" vertical="center" wrapText="1"/>
    </xf>
    <xf numFmtId="0" fontId="153" fillId="0" borderId="3" xfId="1614" applyFont="1" applyBorder="1" applyAlignment="1">
      <alignment horizontal="center" vertical="center"/>
    </xf>
    <xf numFmtId="0" fontId="153" fillId="0" borderId="3" xfId="1652" applyFont="1" applyBorder="1" applyAlignment="1">
      <alignment horizontal="center" vertical="center"/>
    </xf>
    <xf numFmtId="207" fontId="153" fillId="0" borderId="3" xfId="1614" applyNumberFormat="1" applyFont="1" applyBorder="1" applyAlignment="1">
      <alignment horizontal="center" vertical="center"/>
    </xf>
    <xf numFmtId="3" fontId="146" fillId="0" borderId="3" xfId="1614" applyNumberFormat="1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46" fillId="0" borderId="23" xfId="1614" applyFont="1" applyBorder="1" applyAlignment="1">
      <alignment horizontal="center" vertical="center"/>
    </xf>
    <xf numFmtId="0" fontId="146" fillId="0" borderId="24" xfId="1614" applyFont="1" applyBorder="1" applyAlignment="1">
      <alignment horizontal="left" vertical="center"/>
    </xf>
    <xf numFmtId="0" fontId="146" fillId="0" borderId="24" xfId="1614" applyFont="1" applyBorder="1" applyAlignment="1">
      <alignment vertical="center"/>
    </xf>
    <xf numFmtId="0" fontId="153" fillId="0" borderId="24" xfId="1614" applyFont="1" applyBorder="1" applyAlignment="1">
      <alignment horizontal="center" vertical="center"/>
    </xf>
    <xf numFmtId="3" fontId="146" fillId="0" borderId="24" xfId="1614" applyNumberFormat="1" applyFont="1" applyBorder="1" applyAlignment="1">
      <alignment horizontal="center" vertical="center"/>
    </xf>
    <xf numFmtId="3" fontId="146" fillId="0" borderId="25" xfId="1614" applyNumberFormat="1" applyFont="1" applyBorder="1" applyAlignment="1">
      <alignment horizontal="center" vertical="center"/>
    </xf>
    <xf numFmtId="0" fontId="148" fillId="0" borderId="26" xfId="1614" applyFont="1" applyBorder="1" applyAlignment="1">
      <alignment horizontal="center" vertical="center"/>
    </xf>
    <xf numFmtId="37" fontId="150" fillId="0" borderId="27" xfId="1614" applyNumberFormat="1" applyFont="1" applyBorder="1" applyAlignment="1">
      <alignment horizontal="center"/>
    </xf>
    <xf numFmtId="37" fontId="148" fillId="0" borderId="27" xfId="1614" applyNumberFormat="1" applyFont="1" applyBorder="1" applyAlignment="1">
      <alignment horizontal="center"/>
    </xf>
    <xf numFmtId="0" fontId="148" fillId="0" borderId="28" xfId="1614" applyFont="1" applyBorder="1" applyAlignment="1">
      <alignment horizontal="center" vertical="center"/>
    </xf>
    <xf numFmtId="37" fontId="150" fillId="0" borderId="29" xfId="1614" applyNumberFormat="1" applyFont="1" applyBorder="1" applyAlignment="1">
      <alignment horizontal="center"/>
    </xf>
    <xf numFmtId="37" fontId="148" fillId="0" borderId="29" xfId="1614" applyNumberFormat="1" applyFont="1" applyBorder="1" applyAlignment="1">
      <alignment horizontal="center"/>
    </xf>
    <xf numFmtId="37" fontId="154" fillId="0" borderId="30" xfId="1614" applyNumberFormat="1" applyFont="1" applyBorder="1" applyAlignment="1">
      <alignment horizontal="center"/>
    </xf>
    <xf numFmtId="37" fontId="154" fillId="0" borderId="32" xfId="1614" applyNumberFormat="1" applyFont="1" applyBorder="1" applyAlignment="1">
      <alignment horizontal="center"/>
    </xf>
    <xf numFmtId="0" fontId="154" fillId="0" borderId="34" xfId="1614" applyFont="1" applyBorder="1" applyAlignment="1">
      <alignment vertical="center"/>
    </xf>
    <xf numFmtId="0" fontId="148" fillId="0" borderId="19" xfId="1614" applyFont="1" applyBorder="1"/>
    <xf numFmtId="0" fontId="148" fillId="0" borderId="19" xfId="1614" applyFont="1" applyBorder="1" applyAlignment="1">
      <alignment horizontal="center"/>
    </xf>
    <xf numFmtId="0" fontId="148" fillId="0" borderId="19" xfId="1614" applyFont="1" applyBorder="1" applyAlignment="1">
      <alignment horizontal="right"/>
    </xf>
    <xf numFmtId="0" fontId="148" fillId="0" borderId="31" xfId="1614" applyFont="1" applyBorder="1" applyAlignment="1">
      <alignment horizontal="right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165" fontId="153" fillId="0" borderId="0" xfId="1652" applyNumberFormat="1" applyFont="1" applyAlignment="1">
      <alignment vertical="center"/>
    </xf>
    <xf numFmtId="0" fontId="148" fillId="0" borderId="0" xfId="1652" applyFont="1" applyAlignment="1">
      <alignment horizontal="right"/>
    </xf>
    <xf numFmtId="0" fontId="155" fillId="0" borderId="0" xfId="1644" applyFont="1" applyAlignment="1">
      <alignment horizontal="center" vertical="center"/>
    </xf>
    <xf numFmtId="0" fontId="153" fillId="0" borderId="0" xfId="1652" applyFont="1" applyAlignment="1">
      <alignment vertical="center"/>
    </xf>
    <xf numFmtId="0" fontId="156" fillId="39" borderId="71" xfId="2670" applyFont="1" applyFill="1" applyBorder="1" applyAlignment="1">
      <alignment horizontal="left" vertical="center"/>
    </xf>
    <xf numFmtId="0" fontId="156" fillId="39" borderId="72" xfId="2670" applyFont="1" applyFill="1" applyBorder="1" applyAlignment="1">
      <alignment horizontal="center" vertical="center"/>
    </xf>
    <xf numFmtId="0" fontId="156" fillId="39" borderId="74" xfId="2670" applyFont="1" applyFill="1" applyBorder="1" applyAlignment="1">
      <alignment horizontal="left" vertical="center"/>
    </xf>
    <xf numFmtId="0" fontId="156" fillId="39" borderId="70" xfId="2670" applyFont="1" applyFill="1" applyBorder="1" applyAlignment="1">
      <alignment horizontal="center" vertical="center"/>
    </xf>
    <xf numFmtId="0" fontId="156" fillId="39" borderId="76" xfId="2670" applyFont="1" applyFill="1" applyBorder="1" applyAlignment="1">
      <alignment horizontal="left" vertical="center"/>
    </xf>
    <xf numFmtId="0" fontId="156" fillId="39" borderId="77" xfId="2670" applyFont="1" applyFill="1" applyBorder="1" applyAlignment="1">
      <alignment horizontal="center" vertical="center"/>
    </xf>
    <xf numFmtId="167" fontId="138" fillId="40" borderId="73" xfId="2672" applyFont="1" applyFill="1" applyBorder="1" applyAlignment="1" applyProtection="1">
      <alignment horizontal="right" vertical="center" wrapText="1"/>
      <protection locked="0"/>
    </xf>
    <xf numFmtId="167" fontId="138" fillId="40" borderId="75" xfId="2672" applyFont="1" applyFill="1" applyBorder="1" applyAlignment="1" applyProtection="1">
      <alignment horizontal="right" vertical="center"/>
      <protection locked="0"/>
    </xf>
    <xf numFmtId="169" fontId="138" fillId="40" borderId="75" xfId="2672" applyNumberFormat="1" applyFont="1" applyFill="1" applyBorder="1" applyAlignment="1" applyProtection="1">
      <alignment horizontal="right" vertical="center"/>
      <protection locked="0"/>
    </xf>
    <xf numFmtId="169" fontId="138" fillId="40" borderId="78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1" xfId="2673" applyFont="1" applyBorder="1" applyAlignment="1">
      <alignment horizontal="center" vertical="center" wrapText="1"/>
    </xf>
    <xf numFmtId="0" fontId="159" fillId="0" borderId="0" xfId="2673" applyFont="1" applyAlignment="1">
      <alignment horizontal="center" vertical="center" wrapText="1"/>
    </xf>
    <xf numFmtId="0" fontId="160" fillId="0" borderId="0" xfId="2673" applyFont="1" applyAlignment="1">
      <alignment vertical="center" wrapText="1"/>
    </xf>
    <xf numFmtId="0" fontId="161" fillId="0" borderId="0" xfId="2673" applyFont="1" applyAlignment="1">
      <alignment vertical="center" wrapText="1"/>
    </xf>
    <xf numFmtId="0" fontId="144" fillId="35" borderId="82" xfId="2673" applyFont="1" applyFill="1" applyBorder="1" applyAlignment="1">
      <alignment vertical="center" wrapText="1"/>
    </xf>
    <xf numFmtId="0" fontId="144" fillId="43" borderId="82" xfId="2673" applyFont="1" applyFill="1" applyBorder="1" applyAlignment="1">
      <alignment vertical="center" wrapText="1"/>
    </xf>
    <xf numFmtId="0" fontId="158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3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4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50" xfId="2673" applyNumberFormat="1" applyFont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2" fontId="166" fillId="0" borderId="0" xfId="2673" applyNumberFormat="1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44" fillId="35" borderId="51" xfId="2673" applyFont="1" applyFill="1" applyBorder="1" applyAlignment="1">
      <alignment vertical="center" wrapText="1"/>
    </xf>
    <xf numFmtId="0" fontId="144" fillId="0" borderId="53" xfId="2673" applyFont="1" applyBorder="1" applyAlignment="1">
      <alignment horizontal="center" vertical="center" wrapText="1"/>
    </xf>
    <xf numFmtId="0" fontId="144" fillId="35" borderId="49" xfId="2673" applyFont="1" applyFill="1" applyBorder="1" applyAlignment="1">
      <alignment vertical="center" wrapText="1"/>
    </xf>
    <xf numFmtId="1" fontId="132" fillId="0" borderId="58" xfId="2673" applyNumberFormat="1" applyFont="1" applyBorder="1" applyAlignment="1">
      <alignment vertical="center" wrapText="1"/>
    </xf>
    <xf numFmtId="0" fontId="132" fillId="35" borderId="49" xfId="2673" applyFont="1" applyFill="1" applyBorder="1" applyAlignment="1">
      <alignment vertical="center" wrapText="1"/>
    </xf>
    <xf numFmtId="0" fontId="132" fillId="35" borderId="86" xfId="2673" applyFont="1" applyFill="1" applyBorder="1" applyAlignment="1">
      <alignment vertical="center" wrapText="1"/>
    </xf>
    <xf numFmtId="0" fontId="105" fillId="0" borderId="63" xfId="2673" applyFont="1" applyBorder="1" applyAlignment="1">
      <alignment horizontal="center" vertical="center" wrapText="1"/>
    </xf>
    <xf numFmtId="0" fontId="144" fillId="0" borderId="51" xfId="2673" applyFont="1" applyBorder="1" applyAlignment="1">
      <alignment vertical="center" wrapText="1"/>
    </xf>
    <xf numFmtId="0" fontId="144" fillId="0" borderId="49" xfId="2673" applyFont="1" applyBorder="1" applyAlignment="1">
      <alignment vertical="center" wrapText="1"/>
    </xf>
    <xf numFmtId="0" fontId="132" fillId="0" borderId="49" xfId="2673" applyFont="1" applyBorder="1" applyAlignment="1">
      <alignment vertical="center" wrapText="1"/>
    </xf>
    <xf numFmtId="0" fontId="132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9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169" fontId="142" fillId="47" borderId="0" xfId="2672" applyNumberFormat="1" applyFont="1" applyFill="1" applyBorder="1" applyAlignment="1" applyProtection="1">
      <alignment horizontal="right" vertical="center"/>
    </xf>
    <xf numFmtId="0" fontId="146" fillId="0" borderId="21" xfId="1615" applyFont="1" applyBorder="1" applyAlignment="1">
      <alignment horizontal="left" vertical="center" wrapText="1"/>
    </xf>
    <xf numFmtId="0" fontId="152" fillId="0" borderId="20" xfId="1653" applyFont="1" applyBorder="1" applyAlignment="1">
      <alignment horizontal="center" vertical="center"/>
    </xf>
    <xf numFmtId="0" fontId="153" fillId="0" borderId="21" xfId="1615" applyFont="1" applyBorder="1" applyAlignment="1">
      <alignment horizontal="center" vertical="center"/>
    </xf>
    <xf numFmtId="0" fontId="146" fillId="0" borderId="20" xfId="1615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9" fontId="118" fillId="33" borderId="0" xfId="2542" applyFont="1" applyFill="1" applyAlignment="1">
      <alignment horizontal="center"/>
    </xf>
    <xf numFmtId="9" fontId="114" fillId="33" borderId="0" xfId="2542" applyFont="1" applyFill="1" applyBorder="1" applyAlignment="1">
      <alignment horizontal="center" vertical="center"/>
    </xf>
    <xf numFmtId="0" fontId="119" fillId="0" borderId="0" xfId="1451" applyFont="1"/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37" xfId="1451" applyFont="1" applyBorder="1"/>
    <xf numFmtId="0" fontId="119" fillId="0" borderId="28" xfId="1451" applyFont="1" applyBorder="1"/>
    <xf numFmtId="0" fontId="120" fillId="0" borderId="0" xfId="1451" applyFont="1" applyAlignment="1">
      <alignment vertical="center"/>
    </xf>
    <xf numFmtId="0" fontId="171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5" fillId="0" borderId="0" xfId="1451" applyFont="1" applyAlignment="1">
      <alignment vertical="center"/>
    </xf>
    <xf numFmtId="0" fontId="115" fillId="0" borderId="37" xfId="1451" applyFont="1" applyBorder="1" applyAlignment="1">
      <alignment vertical="center"/>
    </xf>
    <xf numFmtId="0" fontId="124" fillId="0" borderId="0" xfId="1451" applyFont="1" applyAlignment="1">
      <alignment horizontal="center"/>
    </xf>
    <xf numFmtId="0" fontId="115" fillId="0" borderId="0" xfId="1451" applyFont="1" applyAlignment="1">
      <alignment horizontal="center" vertical="center"/>
    </xf>
    <xf numFmtId="0" fontId="115" fillId="0" borderId="37" xfId="1451" applyFont="1" applyBorder="1" applyAlignment="1">
      <alignment horizontal="center" vertical="center"/>
    </xf>
    <xf numFmtId="0" fontId="119" fillId="0" borderId="34" xfId="1451" applyFont="1" applyBorder="1"/>
    <xf numFmtId="0" fontId="119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119" fillId="0" borderId="31" xfId="1451" applyFont="1" applyBorder="1"/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9" fillId="0" borderId="21" xfId="1614" applyFont="1" applyBorder="1" applyAlignment="1">
      <alignment horizontal="center" vertical="center"/>
    </xf>
    <xf numFmtId="0" fontId="5" fillId="0" borderId="21" xfId="1652" applyFont="1" applyBorder="1" applyAlignment="1">
      <alignment horizontal="center" vertical="center"/>
    </xf>
    <xf numFmtId="3" fontId="9" fillId="0" borderId="21" xfId="1599" applyNumberFormat="1" applyFont="1" applyBorder="1" applyAlignment="1">
      <alignment horizontal="center" vertical="center"/>
    </xf>
    <xf numFmtId="0" fontId="126" fillId="0" borderId="21" xfId="1652" applyFont="1" applyBorder="1" applyAlignment="1">
      <alignment horizontal="center" vertical="center"/>
    </xf>
    <xf numFmtId="0" fontId="152" fillId="0" borderId="21" xfId="1652" applyFont="1" applyBorder="1" applyAlignment="1">
      <alignment horizontal="center" vertical="center"/>
    </xf>
    <xf numFmtId="0" fontId="148" fillId="48" borderId="21" xfId="1653" applyFont="1" applyFill="1" applyBorder="1" applyAlignment="1">
      <alignment vertical="center" wrapText="1"/>
    </xf>
    <xf numFmtId="0" fontId="43" fillId="48" borderId="21" xfId="1451" applyFont="1" applyFill="1" applyBorder="1" applyAlignment="1">
      <alignment horizontal="left" vertical="center" wrapText="1"/>
    </xf>
    <xf numFmtId="0" fontId="119" fillId="33" borderId="0" xfId="1451" applyFont="1" applyFill="1" applyAlignment="1">
      <alignment horizontal="center" vertical="center"/>
    </xf>
    <xf numFmtId="0" fontId="119" fillId="33" borderId="0" xfId="1451" applyFont="1" applyFill="1" applyAlignment="1">
      <alignment horizontal="center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114" fillId="33" borderId="0" xfId="2677" applyFont="1" applyFill="1" applyAlignment="1">
      <alignment horizontal="center"/>
    </xf>
    <xf numFmtId="0" fontId="114" fillId="33" borderId="26" xfId="2677" applyFont="1" applyFill="1" applyBorder="1" applyAlignment="1">
      <alignment horizontal="center"/>
    </xf>
    <xf numFmtId="0" fontId="114" fillId="33" borderId="36" xfId="2677" applyFont="1" applyFill="1" applyBorder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quotePrefix="1" applyFont="1" applyFill="1" applyAlignment="1">
      <alignment horizontal="center"/>
    </xf>
    <xf numFmtId="0" fontId="115" fillId="33" borderId="18" xfId="2677" applyFont="1" applyFill="1" applyBorder="1" applyAlignment="1">
      <alignment horizontal="left"/>
    </xf>
    <xf numFmtId="0" fontId="114" fillId="33" borderId="37" xfId="2677" applyFont="1" applyFill="1" applyBorder="1" applyAlignment="1">
      <alignment horizontal="center"/>
    </xf>
    <xf numFmtId="0" fontId="114" fillId="33" borderId="3" xfId="2677" applyFont="1" applyFill="1" applyBorder="1" applyAlignment="1">
      <alignment horizontal="center"/>
    </xf>
    <xf numFmtId="0" fontId="114" fillId="33" borderId="39" xfId="2677" applyFont="1" applyFill="1" applyBorder="1" applyAlignment="1">
      <alignment horizontal="center"/>
    </xf>
    <xf numFmtId="0" fontId="134" fillId="33" borderId="0" xfId="2677" applyFont="1" applyFill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0" fontId="114" fillId="33" borderId="38" xfId="2677" applyFont="1" applyFill="1" applyBorder="1" applyAlignment="1">
      <alignment horizontal="center"/>
    </xf>
    <xf numFmtId="0" fontId="115" fillId="33" borderId="0" xfId="2677" applyFont="1" applyFill="1" applyAlignment="1">
      <alignment horizontal="left"/>
    </xf>
    <xf numFmtId="0" fontId="115" fillId="33" borderId="0" xfId="2677" applyFont="1" applyFill="1" applyAlignment="1">
      <alignment horizontal="center"/>
    </xf>
    <xf numFmtId="0" fontId="91" fillId="33" borderId="40" xfId="2677" applyFont="1" applyFill="1" applyBorder="1" applyAlignment="1">
      <alignment horizontal="center" vertical="center"/>
    </xf>
    <xf numFmtId="0" fontId="91" fillId="33" borderId="47" xfId="2677" applyFont="1" applyFill="1" applyBorder="1" applyAlignment="1">
      <alignment horizontal="center" vertical="center"/>
    </xf>
    <xf numFmtId="0" fontId="114" fillId="33" borderId="3" xfId="2677" applyFont="1" applyFill="1" applyBorder="1" applyAlignment="1">
      <alignment horizontal="center" vertical="center"/>
    </xf>
    <xf numFmtId="0" fontId="114" fillId="33" borderId="39" xfId="2677" applyFont="1" applyFill="1" applyBorder="1" applyAlignment="1">
      <alignment horizontal="center" vertical="center"/>
    </xf>
    <xf numFmtId="0" fontId="91" fillId="33" borderId="102" xfId="2677" applyFont="1" applyFill="1" applyBorder="1" applyAlignment="1">
      <alignment horizontal="left" vertical="center"/>
    </xf>
    <xf numFmtId="0" fontId="91" fillId="33" borderId="40" xfId="2677" applyFont="1" applyFill="1" applyBorder="1" applyAlignment="1">
      <alignment horizontal="left" vertical="center"/>
    </xf>
    <xf numFmtId="0" fontId="91" fillId="33" borderId="59" xfId="2677" applyFont="1" applyFill="1" applyBorder="1" applyAlignment="1">
      <alignment horizontal="left" vertical="center"/>
    </xf>
    <xf numFmtId="0" fontId="91" fillId="33" borderId="60" xfId="2677" applyFont="1" applyFill="1" applyBorder="1" applyAlignment="1">
      <alignment horizontal="left" vertical="center"/>
    </xf>
    <xf numFmtId="0" fontId="117" fillId="33" borderId="0" xfId="2677" applyFont="1" applyFill="1" applyAlignment="1">
      <alignment horizontal="center"/>
    </xf>
    <xf numFmtId="0" fontId="91" fillId="33" borderId="69" xfId="2677" applyFont="1" applyFill="1" applyBorder="1" applyAlignment="1">
      <alignment horizontal="left" vertical="center"/>
    </xf>
    <xf numFmtId="0" fontId="114" fillId="33" borderId="39" xfId="2677" applyFont="1" applyFill="1" applyBorder="1" applyAlignment="1">
      <alignment horizontal="center" vertical="top" wrapText="1"/>
    </xf>
    <xf numFmtId="0" fontId="172" fillId="33" borderId="59" xfId="2677" applyFont="1" applyFill="1" applyBorder="1" applyAlignment="1">
      <alignment horizontal="left" vertical="center"/>
    </xf>
    <xf numFmtId="0" fontId="172" fillId="33" borderId="69" xfId="2677" applyFont="1" applyFill="1" applyBorder="1" applyAlignment="1">
      <alignment horizontal="left" vertical="center"/>
    </xf>
    <xf numFmtId="0" fontId="91" fillId="33" borderId="98" xfId="2677" applyFont="1" applyFill="1" applyBorder="1" applyAlignment="1">
      <alignment horizontal="center" vertical="center"/>
    </xf>
    <xf numFmtId="0" fontId="172" fillId="33" borderId="101" xfId="2677" applyFont="1" applyFill="1" applyBorder="1" applyAlignment="1">
      <alignment horizontal="left" vertical="center"/>
    </xf>
    <xf numFmtId="0" fontId="172" fillId="33" borderId="100" xfId="2677" applyFont="1" applyFill="1" applyBorder="1" applyAlignment="1">
      <alignment horizontal="left" vertical="center"/>
    </xf>
    <xf numFmtId="0" fontId="172" fillId="33" borderId="99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top" wrapText="1"/>
    </xf>
    <xf numFmtId="0" fontId="114" fillId="33" borderId="41" xfId="2677" applyFont="1" applyFill="1" applyBorder="1" applyAlignment="1">
      <alignment horizontal="center" vertical="top" wrapText="1"/>
    </xf>
    <xf numFmtId="0" fontId="114" fillId="33" borderId="3" xfId="2677" applyFont="1" applyFill="1" applyBorder="1" applyAlignment="1">
      <alignment vertical="top" wrapText="1"/>
    </xf>
    <xf numFmtId="0" fontId="114" fillId="33" borderId="39" xfId="2677" applyFont="1" applyFill="1" applyBorder="1" applyAlignment="1">
      <alignment vertical="top" wrapText="1"/>
    </xf>
    <xf numFmtId="0" fontId="118" fillId="33" borderId="95" xfId="2677" applyFont="1" applyFill="1" applyBorder="1" applyAlignment="1">
      <alignment horizontal="center" vertical="top" wrapText="1"/>
    </xf>
    <xf numFmtId="0" fontId="118" fillId="33" borderId="94" xfId="2677" applyFont="1" applyFill="1" applyBorder="1" applyAlignment="1">
      <alignment horizontal="center" vertical="top" wrapText="1"/>
    </xf>
    <xf numFmtId="0" fontId="114" fillId="33" borderId="42" xfId="2677" applyFont="1" applyFill="1" applyBorder="1" applyAlignment="1">
      <alignment horizontal="center"/>
    </xf>
    <xf numFmtId="0" fontId="118" fillId="33" borderId="28" xfId="2677" applyFont="1" applyFill="1" applyBorder="1" applyAlignment="1">
      <alignment horizontal="center"/>
    </xf>
    <xf numFmtId="0" fontId="118" fillId="33" borderId="0" xfId="2677" applyFont="1" applyFill="1" applyAlignment="1">
      <alignment horizontal="center"/>
    </xf>
    <xf numFmtId="20" fontId="114" fillId="33" borderId="39" xfId="2677" applyNumberFormat="1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42" xfId="2677" applyFont="1" applyFill="1" applyBorder="1" applyAlignment="1">
      <alignment horizontal="center" vertical="center" wrapText="1"/>
    </xf>
    <xf numFmtId="0" fontId="114" fillId="33" borderId="0" xfId="2677" applyFont="1" applyFill="1" applyAlignment="1">
      <alignment horizontal="center" vertical="center"/>
    </xf>
    <xf numFmtId="0" fontId="118" fillId="33" borderId="0" xfId="2677" applyFont="1" applyFill="1" applyAlignment="1">
      <alignment horizontal="center" vertical="center"/>
    </xf>
    <xf numFmtId="0" fontId="118" fillId="33" borderId="34" xfId="2677" applyFont="1" applyFill="1" applyBorder="1" applyAlignment="1">
      <alignment horizontal="center"/>
    </xf>
    <xf numFmtId="0" fontId="118" fillId="33" borderId="19" xfId="2677" applyFont="1" applyFill="1" applyBorder="1" applyAlignment="1">
      <alignment horizontal="center"/>
    </xf>
    <xf numFmtId="0" fontId="114" fillId="33" borderId="19" xfId="2677" applyFont="1" applyFill="1" applyBorder="1" applyAlignment="1">
      <alignment horizontal="center"/>
    </xf>
    <xf numFmtId="0" fontId="114" fillId="33" borderId="46" xfId="2677" applyFont="1" applyFill="1" applyBorder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13" fillId="0" borderId="20" xfId="1652" applyFont="1" applyBorder="1" applyAlignment="1">
      <alignment horizontal="center" vertical="center"/>
    </xf>
    <xf numFmtId="0" fontId="43" fillId="0" borderId="21" xfId="0" applyFont="1" applyBorder="1" applyAlignment="1">
      <alignment horizontal="left" vertical="center" wrapText="1"/>
    </xf>
    <xf numFmtId="0" fontId="113" fillId="0" borderId="21" xfId="1652" applyFont="1" applyBorder="1" applyAlignment="1">
      <alignment vertical="center"/>
    </xf>
    <xf numFmtId="0" fontId="43" fillId="0" borderId="21" xfId="1450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5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84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85" xfId="2673" applyBorder="1" applyAlignment="1">
      <alignment horizontal="center" vertical="center" wrapText="1"/>
    </xf>
    <xf numFmtId="9" fontId="166" fillId="0" borderId="0" xfId="2675" applyFont="1" applyFill="1" applyBorder="1" applyAlignment="1">
      <alignment horizontal="center" vertical="center" wrapText="1"/>
    </xf>
    <xf numFmtId="0" fontId="163" fillId="37" borderId="0" xfId="2673" applyFont="1" applyFill="1" applyAlignment="1">
      <alignment horizontal="left" vertical="center" wrapText="1"/>
    </xf>
    <xf numFmtId="43" fontId="144" fillId="35" borderId="7" xfId="2673" applyNumberFormat="1" applyFont="1" applyFill="1" applyBorder="1" applyAlignment="1">
      <alignment horizontal="center" vertical="center" wrapText="1"/>
    </xf>
    <xf numFmtId="0" fontId="144" fillId="35" borderId="58" xfId="2673" applyFont="1" applyFill="1" applyBorder="1" applyAlignment="1">
      <alignment horizontal="center" vertical="center" wrapText="1"/>
    </xf>
    <xf numFmtId="2" fontId="132" fillId="35" borderId="61" xfId="2673" applyNumberFormat="1" applyFont="1" applyFill="1" applyBorder="1" applyAlignment="1">
      <alignment horizontal="center" vertical="center" wrapText="1"/>
    </xf>
    <xf numFmtId="2" fontId="132" fillId="35" borderId="83" xfId="2673" applyNumberFormat="1" applyFont="1" applyFill="1" applyBorder="1" applyAlignment="1">
      <alignment horizontal="center" vertical="center" wrapText="1"/>
    </xf>
    <xf numFmtId="0" fontId="159" fillId="41" borderId="79" xfId="2673" applyFont="1" applyFill="1" applyBorder="1" applyAlignment="1">
      <alignment horizontal="center" vertical="center" wrapText="1"/>
    </xf>
    <xf numFmtId="0" fontId="159" fillId="41" borderId="80" xfId="2673" applyFont="1" applyFill="1" applyBorder="1" applyAlignment="1">
      <alignment horizontal="center" vertical="center" wrapText="1"/>
    </xf>
    <xf numFmtId="0" fontId="159" fillId="41" borderId="81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8" xfId="2673" applyFont="1" applyFill="1" applyBorder="1" applyAlignment="1">
      <alignment horizontal="center" vertical="center" wrapText="1"/>
    </xf>
    <xf numFmtId="1" fontId="144" fillId="35" borderId="7" xfId="2673" applyNumberFormat="1" applyFont="1" applyFill="1" applyBorder="1" applyAlignment="1">
      <alignment horizontal="center" vertical="center" wrapText="1"/>
    </xf>
    <xf numFmtId="1" fontId="144" fillId="35" borderId="58" xfId="2673" applyNumberFormat="1" applyFont="1" applyFill="1" applyBorder="1" applyAlignment="1">
      <alignment horizontal="center" vertical="center" wrapText="1"/>
    </xf>
    <xf numFmtId="43" fontId="144" fillId="0" borderId="53" xfId="2673" applyNumberFormat="1" applyFont="1" applyBorder="1" applyAlignment="1">
      <alignment horizontal="center" vertical="center" wrapText="1"/>
    </xf>
    <xf numFmtId="0" fontId="144" fillId="0" borderId="54" xfId="2673" applyFont="1" applyBorder="1" applyAlignment="1">
      <alignment horizontal="center" vertical="center" wrapText="1"/>
    </xf>
    <xf numFmtId="9" fontId="132" fillId="0" borderId="63" xfId="2675" applyFont="1" applyFill="1" applyBorder="1" applyAlignment="1">
      <alignment horizontal="center" vertical="center" wrapText="1"/>
    </xf>
    <xf numFmtId="9" fontId="132" fillId="0" borderId="64" xfId="2675" applyFont="1" applyFill="1" applyBorder="1" applyAlignment="1">
      <alignment horizontal="center" vertical="center" wrapText="1"/>
    </xf>
    <xf numFmtId="1" fontId="144" fillId="0" borderId="3" xfId="2673" applyNumberFormat="1" applyFont="1" applyBorder="1" applyAlignment="1">
      <alignment horizontal="center" vertical="center" wrapText="1"/>
    </xf>
    <xf numFmtId="1" fontId="144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9" fontId="132" fillId="35" borderId="63" xfId="2675" applyFont="1" applyFill="1" applyBorder="1" applyAlignment="1">
      <alignment horizontal="center" vertical="center" wrapText="1"/>
    </xf>
    <xf numFmtId="9" fontId="132" fillId="35" borderId="64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162" fillId="0" borderId="50" xfId="2673" applyFont="1" applyBorder="1" applyAlignment="1">
      <alignment horizontal="center" vertical="center" wrapText="1"/>
    </xf>
    <xf numFmtId="0" fontId="162" fillId="0" borderId="58" xfId="2673" applyFont="1" applyBorder="1" applyAlignment="1">
      <alignment horizontal="center" vertical="center" wrapText="1"/>
    </xf>
    <xf numFmtId="0" fontId="162" fillId="44" borderId="3" xfId="2673" applyFont="1" applyFill="1" applyBorder="1" applyAlignment="1">
      <alignment horizontal="center" vertical="center" wrapText="1"/>
    </xf>
    <xf numFmtId="0" fontId="162" fillId="44" borderId="39" xfId="2673" applyFont="1" applyFill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45" borderId="3" xfId="2673" applyNumberFormat="1" applyFont="1" applyFill="1" applyBorder="1" applyAlignment="1">
      <alignment horizontal="center" vertical="center" wrapText="1"/>
    </xf>
    <xf numFmtId="2" fontId="132" fillId="45" borderId="39" xfId="2673" applyNumberFormat="1" applyFont="1" applyFill="1" applyBorder="1" applyAlignment="1">
      <alignment horizontal="center" vertical="center" wrapText="1"/>
    </xf>
    <xf numFmtId="0" fontId="159" fillId="42" borderId="79" xfId="2673" applyFont="1" applyFill="1" applyBorder="1" applyAlignment="1">
      <alignment horizontal="center" vertical="center" wrapText="1"/>
    </xf>
    <xf numFmtId="0" fontId="159" fillId="42" borderId="80" xfId="2673" applyFont="1" applyFill="1" applyBorder="1" applyAlignment="1">
      <alignment horizontal="center" vertical="center" wrapText="1"/>
    </xf>
    <xf numFmtId="0" fontId="159" fillId="42" borderId="81" xfId="2673" applyFont="1" applyFill="1" applyBorder="1" applyAlignment="1">
      <alignment horizontal="center" vertical="center" wrapText="1"/>
    </xf>
    <xf numFmtId="43" fontId="144" fillId="43" borderId="7" xfId="2673" applyNumberFormat="1" applyFont="1" applyFill="1" applyBorder="1" applyAlignment="1">
      <alignment horizontal="center" vertical="center" wrapText="1"/>
    </xf>
    <xf numFmtId="0" fontId="144" fillId="43" borderId="58" xfId="2673" applyFont="1" applyFill="1" applyBorder="1" applyAlignment="1">
      <alignment horizontal="center" vertical="center" wrapText="1"/>
    </xf>
    <xf numFmtId="1" fontId="132" fillId="43" borderId="7" xfId="2673" applyNumberFormat="1" applyFont="1" applyFill="1" applyBorder="1" applyAlignment="1">
      <alignment horizontal="center" vertical="center" wrapText="1"/>
    </xf>
    <xf numFmtId="1" fontId="132" fillId="43" borderId="58" xfId="2673" applyNumberFormat="1" applyFont="1" applyFill="1" applyBorder="1" applyAlignment="1">
      <alignment horizontal="center" vertical="center" wrapText="1"/>
    </xf>
    <xf numFmtId="0" fontId="132" fillId="43" borderId="7" xfId="2673" applyFont="1" applyFill="1" applyBorder="1" applyAlignment="1">
      <alignment horizontal="center" vertical="center" wrapText="1"/>
    </xf>
    <xf numFmtId="0" fontId="132" fillId="43" borderId="58" xfId="2673" applyFont="1" applyFill="1" applyBorder="1" applyAlignment="1">
      <alignment horizontal="center" vertical="center" wrapText="1"/>
    </xf>
    <xf numFmtId="2" fontId="132" fillId="43" borderId="61" xfId="2673" applyNumberFormat="1" applyFont="1" applyFill="1" applyBorder="1" applyAlignment="1">
      <alignment horizontal="center" vertical="center" wrapText="1"/>
    </xf>
    <xf numFmtId="2" fontId="132" fillId="43" borderId="83" xfId="2673" applyNumberFormat="1" applyFont="1" applyFill="1" applyBorder="1" applyAlignment="1">
      <alignment horizontal="center" vertical="center" wrapText="1"/>
    </xf>
    <xf numFmtId="0" fontId="8" fillId="34" borderId="67" xfId="2670" applyFill="1" applyBorder="1" applyAlignment="1">
      <alignment horizontal="center" vertical="center"/>
    </xf>
    <xf numFmtId="0" fontId="136" fillId="0" borderId="68" xfId="2670" applyFont="1" applyBorder="1" applyAlignment="1">
      <alignment horizontal="left" vertical="center"/>
    </xf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50" fillId="30" borderId="3" xfId="1614" applyFont="1" applyFill="1" applyBorder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37" fontId="148" fillId="0" borderId="36" xfId="1614" applyNumberFormat="1" applyFont="1" applyBorder="1" applyAlignment="1">
      <alignment horizontal="center"/>
    </xf>
    <xf numFmtId="0" fontId="152" fillId="35" borderId="51" xfId="1614" applyFont="1" applyFill="1" applyBorder="1" applyAlignment="1">
      <alignment horizontal="center" vertical="center"/>
    </xf>
    <xf numFmtId="0" fontId="152" fillId="35" borderId="49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/>
    </xf>
    <xf numFmtId="0" fontId="152" fillId="35" borderId="21" xfId="1614" applyFont="1" applyFill="1" applyBorder="1" applyAlignment="1">
      <alignment horizontal="center" vertical="center"/>
    </xf>
    <xf numFmtId="0" fontId="152" fillId="35" borderId="33" xfId="1614" applyFont="1" applyFill="1" applyBorder="1" applyAlignment="1">
      <alignment horizontal="center" vertical="center"/>
    </xf>
    <xf numFmtId="0" fontId="152" fillId="35" borderId="53" xfId="1614" applyFont="1" applyFill="1" applyBorder="1" applyAlignment="1">
      <alignment horizontal="center" vertical="center"/>
    </xf>
    <xf numFmtId="0" fontId="152" fillId="35" borderId="3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 wrapText="1"/>
    </xf>
    <xf numFmtId="0" fontId="152" fillId="35" borderId="21" xfId="1614" applyFont="1" applyFill="1" applyBorder="1" applyAlignment="1">
      <alignment horizontal="center" vertical="center" wrapText="1"/>
    </xf>
    <xf numFmtId="0" fontId="152" fillId="35" borderId="33" xfId="1614" applyFont="1" applyFill="1" applyBorder="1" applyAlignment="1">
      <alignment horizontal="center" vertical="center" wrapText="1"/>
    </xf>
    <xf numFmtId="0" fontId="152" fillId="35" borderId="35" xfId="1652" applyFont="1" applyFill="1" applyBorder="1" applyAlignment="1">
      <alignment horizontal="center" vertical="center" wrapText="1"/>
    </xf>
    <xf numFmtId="0" fontId="152" fillId="35" borderId="33" xfId="1652" applyFont="1" applyFill="1" applyBorder="1" applyAlignment="1">
      <alignment horizontal="center" vertical="center" wrapText="1"/>
    </xf>
    <xf numFmtId="0" fontId="147" fillId="0" borderId="0" xfId="1644" applyFont="1" applyAlignment="1">
      <alignment horizontal="center" vertical="center"/>
    </xf>
    <xf numFmtId="37" fontId="154" fillId="0" borderId="19" xfId="1614" applyNumberFormat="1" applyFont="1" applyBorder="1" applyAlignment="1">
      <alignment horizontal="center"/>
    </xf>
    <xf numFmtId="0" fontId="150" fillId="0" borderId="0" xfId="1614" quotePrefix="1" applyFont="1" applyAlignment="1">
      <alignment horizontal="left" vertical="top" wrapText="1"/>
    </xf>
    <xf numFmtId="0" fontId="150" fillId="0" borderId="0" xfId="1614" applyFont="1" applyAlignment="1">
      <alignment horizontal="left" vertical="top" wrapText="1"/>
    </xf>
    <xf numFmtId="37" fontId="148" fillId="0" borderId="0" xfId="1614" applyNumberFormat="1" applyFont="1" applyAlignment="1">
      <alignment horizontal="center"/>
    </xf>
    <xf numFmtId="0" fontId="168" fillId="0" borderId="26" xfId="1614" applyFont="1" applyBorder="1" applyAlignment="1">
      <alignment horizontal="left" vertical="center" wrapText="1"/>
    </xf>
    <xf numFmtId="0" fontId="168" fillId="0" borderId="36" xfId="1614" applyFont="1" applyBorder="1" applyAlignment="1">
      <alignment horizontal="left" vertical="center" wrapText="1"/>
    </xf>
    <xf numFmtId="0" fontId="168" fillId="0" borderId="48" xfId="1614" applyFont="1" applyBorder="1" applyAlignment="1">
      <alignment horizontal="left" vertical="center" wrapText="1"/>
    </xf>
    <xf numFmtId="0" fontId="168" fillId="0" borderId="28" xfId="1614" applyFont="1" applyBorder="1" applyAlignment="1">
      <alignment horizontal="left" vertical="center" wrapText="1"/>
    </xf>
    <xf numFmtId="0" fontId="168" fillId="0" borderId="0" xfId="1614" applyFont="1" applyAlignment="1">
      <alignment horizontal="left" vertical="center" wrapText="1"/>
    </xf>
    <xf numFmtId="0" fontId="168" fillId="0" borderId="37" xfId="1614" applyFont="1" applyBorder="1" applyAlignment="1">
      <alignment horizontal="left" vertical="center" wrapText="1"/>
    </xf>
    <xf numFmtId="0" fontId="153" fillId="0" borderId="0" xfId="1652" applyFont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0" fontId="152" fillId="35" borderId="54" xfId="1614" applyFont="1" applyFill="1" applyBorder="1" applyAlignment="1">
      <alignment horizontal="center" vertical="center"/>
    </xf>
    <xf numFmtId="0" fontId="152" fillId="35" borderId="39" xfId="1614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/>
    </xf>
    <xf numFmtId="0" fontId="114" fillId="33" borderId="41" xfId="2677" applyFont="1" applyFill="1" applyBorder="1" applyAlignment="1">
      <alignment horizontal="center"/>
    </xf>
    <xf numFmtId="0" fontId="114" fillId="33" borderId="3" xfId="2677" applyFont="1" applyFill="1" applyBorder="1" applyAlignment="1">
      <alignment horizontal="center"/>
    </xf>
    <xf numFmtId="0" fontId="114" fillId="33" borderId="39" xfId="2677" applyFont="1" applyFill="1" applyBorder="1" applyAlignment="1">
      <alignment horizontal="center"/>
    </xf>
    <xf numFmtId="0" fontId="114" fillId="33" borderId="87" xfId="2677" applyFont="1" applyFill="1" applyBorder="1" applyAlignment="1">
      <alignment horizontal="center"/>
    </xf>
    <xf numFmtId="0" fontId="114" fillId="33" borderId="62" xfId="2677" applyFont="1" applyFill="1" applyBorder="1" applyAlignment="1">
      <alignment horizontal="center"/>
    </xf>
    <xf numFmtId="0" fontId="114" fillId="33" borderId="63" xfId="2677" applyFont="1" applyFill="1" applyBorder="1" applyAlignment="1">
      <alignment horizontal="center"/>
    </xf>
    <xf numFmtId="0" fontId="114" fillId="33" borderId="64" xfId="2677" applyFont="1" applyFill="1" applyBorder="1" applyAlignment="1">
      <alignment horizontal="center"/>
    </xf>
    <xf numFmtId="0" fontId="114" fillId="33" borderId="56" xfId="2677" applyFont="1" applyFill="1" applyBorder="1" applyAlignment="1">
      <alignment horizontal="center" vertical="center"/>
    </xf>
    <xf numFmtId="0" fontId="114" fillId="33" borderId="57" xfId="2677" applyFont="1" applyFill="1" applyBorder="1" applyAlignment="1">
      <alignment horizontal="center" vertical="center"/>
    </xf>
    <xf numFmtId="0" fontId="119" fillId="33" borderId="0" xfId="2677" applyFont="1" applyFill="1" applyAlignment="1">
      <alignment horizontal="center" vertical="center" wrapText="1"/>
    </xf>
    <xf numFmtId="0" fontId="119" fillId="33" borderId="37" xfId="2677" applyFont="1" applyFill="1" applyBorder="1" applyAlignment="1">
      <alignment horizontal="center" vertical="center" wrapText="1"/>
    </xf>
    <xf numFmtId="0" fontId="119" fillId="33" borderId="44" xfId="2677" applyFont="1" applyFill="1" applyBorder="1" applyAlignment="1">
      <alignment horizontal="center" vertical="center" wrapText="1"/>
    </xf>
    <xf numFmtId="0" fontId="119" fillId="33" borderId="45" xfId="2677" applyFont="1" applyFill="1" applyBorder="1" applyAlignment="1">
      <alignment horizontal="center" vertical="center" wrapText="1"/>
    </xf>
    <xf numFmtId="0" fontId="114" fillId="33" borderId="7" xfId="2677" applyFont="1" applyFill="1" applyBorder="1" applyAlignment="1">
      <alignment horizontal="center"/>
    </xf>
    <xf numFmtId="15" fontId="114" fillId="33" borderId="3" xfId="2677" applyNumberFormat="1" applyFont="1" applyFill="1" applyBorder="1" applyAlignment="1">
      <alignment horizontal="center"/>
    </xf>
    <xf numFmtId="0" fontId="114" fillId="33" borderId="7" xfId="2677" applyFont="1" applyFill="1" applyBorder="1" applyAlignment="1">
      <alignment vertical="top" wrapText="1"/>
    </xf>
    <xf numFmtId="0" fontId="114" fillId="33" borderId="41" xfId="2677" applyFont="1" applyFill="1" applyBorder="1" applyAlignment="1">
      <alignment vertical="top" wrapText="1"/>
    </xf>
    <xf numFmtId="0" fontId="118" fillId="33" borderId="97" xfId="2677" applyFont="1" applyFill="1" applyBorder="1" applyAlignment="1">
      <alignment horizontal="center" vertical="center" wrapText="1"/>
    </xf>
    <xf numFmtId="0" fontId="118" fillId="33" borderId="96" xfId="2677" applyFont="1" applyFill="1" applyBorder="1" applyAlignment="1">
      <alignment horizontal="center" vertical="center" wrapText="1"/>
    </xf>
    <xf numFmtId="0" fontId="114" fillId="33" borderId="7" xfId="2677" applyFont="1" applyFill="1" applyBorder="1" applyAlignment="1">
      <alignment horizontal="center" vertical="top" wrapText="1"/>
    </xf>
    <xf numFmtId="0" fontId="114" fillId="33" borderId="41" xfId="2677" applyFont="1" applyFill="1" applyBorder="1" applyAlignment="1">
      <alignment horizontal="center" vertical="top" wrapText="1"/>
    </xf>
    <xf numFmtId="0" fontId="115" fillId="33" borderId="38" xfId="2677" applyFont="1" applyFill="1" applyBorder="1" applyAlignment="1">
      <alignment horizontal="left" vertical="top" wrapText="1"/>
    </xf>
    <xf numFmtId="0" fontId="115" fillId="33" borderId="56" xfId="2677" applyFont="1" applyFill="1" applyBorder="1" applyAlignment="1">
      <alignment horizontal="left" vertical="top" wrapText="1"/>
    </xf>
    <xf numFmtId="0" fontId="115" fillId="33" borderId="57" xfId="2677" applyFont="1" applyFill="1" applyBorder="1" applyAlignment="1">
      <alignment horizontal="left" vertical="top" wrapText="1"/>
    </xf>
    <xf numFmtId="0" fontId="115" fillId="33" borderId="43" xfId="2677" applyFont="1" applyFill="1" applyBorder="1" applyAlignment="1">
      <alignment horizontal="left" vertical="top" wrapText="1"/>
    </xf>
    <xf numFmtId="0" fontId="115" fillId="33" borderId="44" xfId="2677" applyFont="1" applyFill="1" applyBorder="1" applyAlignment="1">
      <alignment horizontal="left" vertical="top" wrapText="1"/>
    </xf>
    <xf numFmtId="0" fontId="115" fillId="33" borderId="45" xfId="2677" applyFont="1" applyFill="1" applyBorder="1" applyAlignment="1">
      <alignment horizontal="left" vertical="top" wrapText="1"/>
    </xf>
    <xf numFmtId="0" fontId="91" fillId="33" borderId="59" xfId="2677" applyFont="1" applyFill="1" applyBorder="1" applyAlignment="1">
      <alignment horizontal="left" vertical="center"/>
    </xf>
    <xf numFmtId="0" fontId="91" fillId="33" borderId="60" xfId="2677" applyFont="1" applyFill="1" applyBorder="1" applyAlignment="1">
      <alignment horizontal="left" vertical="center"/>
    </xf>
    <xf numFmtId="49" fontId="114" fillId="33" borderId="50" xfId="2677" applyNumberFormat="1" applyFont="1" applyFill="1" applyBorder="1" applyAlignment="1">
      <alignment horizontal="left" vertical="center"/>
    </xf>
    <xf numFmtId="49" fontId="114" fillId="33" borderId="41" xfId="2677" applyNumberFormat="1" applyFont="1" applyFill="1" applyBorder="1" applyAlignment="1">
      <alignment horizontal="left" vertical="center"/>
    </xf>
    <xf numFmtId="49" fontId="114" fillId="33" borderId="50" xfId="2677" applyNumberFormat="1" applyFont="1" applyFill="1" applyBorder="1" applyAlignment="1">
      <alignment vertical="center"/>
    </xf>
    <xf numFmtId="49" fontId="114" fillId="33" borderId="41" xfId="2677" applyNumberFormat="1" applyFont="1" applyFill="1" applyBorder="1" applyAlignment="1">
      <alignment vertical="center"/>
    </xf>
    <xf numFmtId="49" fontId="114" fillId="33" borderId="50" xfId="2677" applyNumberFormat="1" applyFont="1" applyFill="1" applyBorder="1" applyAlignment="1">
      <alignment vertical="top" wrapText="1"/>
    </xf>
    <xf numFmtId="49" fontId="114" fillId="33" borderId="41" xfId="2677" applyNumberFormat="1" applyFont="1" applyFill="1" applyBorder="1" applyAlignment="1">
      <alignment vertical="top" wrapText="1"/>
    </xf>
    <xf numFmtId="0" fontId="91" fillId="33" borderId="102" xfId="2677" applyFont="1" applyFill="1" applyBorder="1" applyAlignment="1">
      <alignment horizontal="left" vertical="center"/>
    </xf>
    <xf numFmtId="0" fontId="91" fillId="33" borderId="40" xfId="2677" applyFont="1" applyFill="1" applyBorder="1" applyAlignment="1">
      <alignment horizontal="left" vertical="center"/>
    </xf>
    <xf numFmtId="49" fontId="91" fillId="33" borderId="102" xfId="2677" applyNumberFormat="1" applyFont="1" applyFill="1" applyBorder="1" applyAlignment="1">
      <alignment horizontal="left" vertical="center"/>
    </xf>
    <xf numFmtId="49" fontId="91" fillId="33" borderId="40" xfId="2677" applyNumberFormat="1" applyFont="1" applyFill="1" applyBorder="1" applyAlignment="1">
      <alignment horizontal="left" vertical="center"/>
    </xf>
    <xf numFmtId="49" fontId="173" fillId="33" borderId="102" xfId="2677" applyNumberFormat="1" applyFont="1" applyFill="1" applyBorder="1" applyAlignment="1">
      <alignment horizontal="left" vertical="center"/>
    </xf>
    <xf numFmtId="49" fontId="173" fillId="33" borderId="40" xfId="2677" applyNumberFormat="1" applyFont="1" applyFill="1" applyBorder="1" applyAlignment="1">
      <alignment horizontal="left" vertical="center"/>
    </xf>
    <xf numFmtId="0" fontId="173" fillId="33" borderId="59" xfId="2677" applyFont="1" applyFill="1" applyBorder="1" applyAlignment="1">
      <alignment horizontal="left" vertical="center"/>
    </xf>
    <xf numFmtId="0" fontId="173" fillId="33" borderId="60" xfId="2677" applyFont="1" applyFill="1" applyBorder="1" applyAlignment="1">
      <alignment horizontal="left" vertical="center"/>
    </xf>
    <xf numFmtId="0" fontId="114" fillId="33" borderId="56" xfId="2677" applyFont="1" applyFill="1" applyBorder="1" applyAlignment="1">
      <alignment horizontal="center"/>
    </xf>
    <xf numFmtId="0" fontId="114" fillId="33" borderId="57" xfId="2677" applyFont="1" applyFill="1" applyBorder="1" applyAlignment="1">
      <alignment horizontal="center"/>
    </xf>
    <xf numFmtId="0" fontId="115" fillId="33" borderId="18" xfId="2677" applyFont="1" applyFill="1" applyBorder="1" applyAlignment="1">
      <alignment horizontal="left"/>
    </xf>
    <xf numFmtId="0" fontId="115" fillId="33" borderId="0" xfId="2677" applyFont="1" applyFill="1" applyAlignment="1">
      <alignment horizontal="left"/>
    </xf>
    <xf numFmtId="0" fontId="115" fillId="33" borderId="37" xfId="2677" applyFont="1" applyFill="1" applyBorder="1" applyAlignment="1">
      <alignment horizontal="left"/>
    </xf>
    <xf numFmtId="0" fontId="130" fillId="33" borderId="50" xfId="2677" applyFont="1" applyFill="1" applyBorder="1" applyAlignment="1">
      <alignment horizontal="center" vertical="center"/>
    </xf>
    <xf numFmtId="0" fontId="130" fillId="33" borderId="7" xfId="2677" applyFont="1" applyFill="1" applyBorder="1" applyAlignment="1">
      <alignment horizontal="center" vertical="center"/>
    </xf>
    <xf numFmtId="0" fontId="130" fillId="33" borderId="41" xfId="2677" applyFont="1" applyFill="1" applyBorder="1" applyAlignment="1">
      <alignment horizontal="center" vertical="center"/>
    </xf>
    <xf numFmtId="0" fontId="115" fillId="33" borderId="50" xfId="2677" applyFont="1" applyFill="1" applyBorder="1" applyAlignment="1">
      <alignment horizontal="center" vertical="center"/>
    </xf>
    <xf numFmtId="0" fontId="115" fillId="33" borderId="7" xfId="2677" applyFont="1" applyFill="1" applyBorder="1" applyAlignment="1">
      <alignment horizontal="center" vertical="center"/>
    </xf>
    <xf numFmtId="0" fontId="115" fillId="33" borderId="58" xfId="2677" applyFont="1" applyFill="1" applyBorder="1" applyAlignment="1">
      <alignment horizontal="center" vertical="center"/>
    </xf>
    <xf numFmtId="0" fontId="129" fillId="35" borderId="55" xfId="2677" applyFont="1" applyFill="1" applyBorder="1" applyAlignment="1">
      <alignment horizontal="center" vertical="center"/>
    </xf>
    <xf numFmtId="0" fontId="129" fillId="35" borderId="36" xfId="2677" applyFont="1" applyFill="1" applyBorder="1" applyAlignment="1">
      <alignment horizontal="center" vertical="center"/>
    </xf>
    <xf numFmtId="0" fontId="129" fillId="35" borderId="48" xfId="2677" applyFont="1" applyFill="1" applyBorder="1" applyAlignment="1">
      <alignment horizontal="center" vertical="center"/>
    </xf>
    <xf numFmtId="0" fontId="129" fillId="35" borderId="43" xfId="2677" applyFont="1" applyFill="1" applyBorder="1" applyAlignment="1">
      <alignment horizontal="center" vertical="center"/>
    </xf>
    <xf numFmtId="0" fontId="129" fillId="35" borderId="44" xfId="2677" applyFont="1" applyFill="1" applyBorder="1" applyAlignment="1">
      <alignment horizontal="center" vertical="center"/>
    </xf>
    <xf numFmtId="0" fontId="129" fillId="35" borderId="45" xfId="2677" applyFont="1" applyFill="1" applyBorder="1" applyAlignment="1">
      <alignment horizontal="center" vertical="center"/>
    </xf>
    <xf numFmtId="0" fontId="170" fillId="0" borderId="88" xfId="1451" applyFont="1" applyBorder="1" applyAlignment="1">
      <alignment horizontal="center" vertical="center"/>
    </xf>
    <xf numFmtId="0" fontId="170" fillId="0" borderId="89" xfId="1451" applyFont="1" applyBorder="1" applyAlignment="1">
      <alignment horizontal="center" vertical="center"/>
    </xf>
    <xf numFmtId="0" fontId="170" fillId="0" borderId="90" xfId="1451" applyFont="1" applyBorder="1" applyAlignment="1">
      <alignment horizontal="center" vertical="center"/>
    </xf>
    <xf numFmtId="0" fontId="170" fillId="0" borderId="91" xfId="1451" applyFont="1" applyBorder="1" applyAlignment="1">
      <alignment horizontal="center" vertical="center"/>
    </xf>
    <xf numFmtId="0" fontId="170" fillId="0" borderId="92" xfId="1451" applyFont="1" applyBorder="1" applyAlignment="1">
      <alignment horizontal="center" vertical="center"/>
    </xf>
    <xf numFmtId="0" fontId="170" fillId="0" borderId="93" xfId="1451" applyFont="1" applyBorder="1" applyAlignment="1">
      <alignment horizontal="center" vertical="center"/>
    </xf>
    <xf numFmtId="0" fontId="121" fillId="33" borderId="88" xfId="1451" applyFont="1" applyFill="1" applyBorder="1" applyAlignment="1">
      <alignment horizontal="center" vertical="center"/>
    </xf>
    <xf numFmtId="0" fontId="121" fillId="33" borderId="89" xfId="1451" applyFont="1" applyFill="1" applyBorder="1" applyAlignment="1">
      <alignment horizontal="center" vertical="center"/>
    </xf>
    <xf numFmtId="0" fontId="121" fillId="33" borderId="90" xfId="1451" applyFont="1" applyFill="1" applyBorder="1" applyAlignment="1">
      <alignment horizontal="center" vertical="center"/>
    </xf>
    <xf numFmtId="0" fontId="121" fillId="33" borderId="91" xfId="1451" applyFont="1" applyFill="1" applyBorder="1" applyAlignment="1">
      <alignment horizontal="center" vertical="center"/>
    </xf>
    <xf numFmtId="0" fontId="121" fillId="33" borderId="92" xfId="1451" applyFont="1" applyFill="1" applyBorder="1" applyAlignment="1">
      <alignment horizontal="center" vertical="center"/>
    </xf>
    <xf numFmtId="0" fontId="121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4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4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76428" y="838059"/>
          <a:ext cx="78668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6034" y="840891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798511" y="2080799"/>
          <a:ext cx="197006" cy="122930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91135" y="2081382"/>
          <a:ext cx="198434" cy="122929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3581" y="2251595"/>
          <a:ext cx="321021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21887" y="2251595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2130" y="1938748"/>
          <a:ext cx="117265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5910" y="1939454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6184" y="9106949"/>
          <a:ext cx="83822" cy="85252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92304" y="2339000"/>
          <a:ext cx="107252" cy="67569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8776" y="2486348"/>
          <a:ext cx="139135" cy="69139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4483" y="2938525"/>
          <a:ext cx="206054" cy="122931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8535" y="2939108"/>
          <a:ext cx="206054" cy="122930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7173" y="3109322"/>
          <a:ext cx="322449" cy="86295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6907" y="3109322"/>
          <a:ext cx="322449" cy="86295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8102" y="2800760"/>
          <a:ext cx="126313" cy="64431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3310" y="2801466"/>
          <a:ext cx="126313" cy="64431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189380</xdr:colOff>
      <xdr:row>6</xdr:row>
      <xdr:rowOff>119062</xdr:rowOff>
    </xdr:from>
    <xdr:to>
      <xdr:col>12</xdr:col>
      <xdr:colOff>71436</xdr:colOff>
      <xdr:row>45</xdr:row>
      <xdr:rowOff>23813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 rot="5400000">
          <a:off x="1076955" y="3922550"/>
          <a:ext cx="5965032" cy="26305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6563" y="8834438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80423" y="8811102"/>
          <a:ext cx="158386" cy="143555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5728" y="8851582"/>
          <a:ext cx="157278" cy="143556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332742</xdr:colOff>
      <xdr:row>40</xdr:row>
      <xdr:rowOff>137798</xdr:rowOff>
    </xdr:from>
    <xdr:to>
      <xdr:col>13</xdr:col>
      <xdr:colOff>96294</xdr:colOff>
      <xdr:row>41</xdr:row>
      <xdr:rowOff>134230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4452305" y="6376673"/>
          <a:ext cx="144552" cy="151213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3453" y="8845867"/>
          <a:ext cx="125502" cy="143999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41608" y="8805386"/>
          <a:ext cx="125502" cy="151216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52148" y="8868728"/>
          <a:ext cx="144423" cy="157309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31733" y="8776811"/>
          <a:ext cx="231003" cy="97097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3578" y="9012080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9033" y="9120665"/>
          <a:ext cx="83822" cy="85252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20013" y="9123522"/>
          <a:ext cx="139135" cy="69139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3373" y="9108281"/>
          <a:ext cx="139135" cy="69139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314378</xdr:colOff>
      <xdr:row>32</xdr:row>
      <xdr:rowOff>49265</xdr:rowOff>
    </xdr:from>
    <xdr:to>
      <xdr:col>13</xdr:col>
      <xdr:colOff>77930</xdr:colOff>
      <xdr:row>33</xdr:row>
      <xdr:rowOff>45697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4433941" y="5026078"/>
          <a:ext cx="144552" cy="151213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358500</xdr:colOff>
      <xdr:row>19</xdr:row>
      <xdr:rowOff>107191</xdr:rowOff>
    </xdr:from>
    <xdr:to>
      <xdr:col>17</xdr:col>
      <xdr:colOff>46842</xdr:colOff>
      <xdr:row>25</xdr:row>
      <xdr:rowOff>64020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5212976" y="3110841"/>
          <a:ext cx="885516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59531</xdr:colOff>
      <xdr:row>16</xdr:row>
      <xdr:rowOff>26458</xdr:rowOff>
    </xdr:from>
    <xdr:to>
      <xdr:col>13</xdr:col>
      <xdr:colOff>95249</xdr:colOff>
      <xdr:row>42</xdr:row>
      <xdr:rowOff>71437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</xdr:cNvCxnSpPr>
      </xdr:nvCxnSpPr>
      <xdr:spPr bwMode="auto">
        <a:xfrm flipH="1" flipV="1">
          <a:off x="4560094" y="2538677"/>
          <a:ext cx="35718" cy="408119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120758</xdr:colOff>
      <xdr:row>17</xdr:row>
      <xdr:rowOff>90594</xdr:rowOff>
    </xdr:from>
    <xdr:to>
      <xdr:col>12</xdr:col>
      <xdr:colOff>351761</xdr:colOff>
      <xdr:row>18</xdr:row>
      <xdr:rowOff>27619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4240321" y="2757594"/>
          <a:ext cx="231003" cy="91806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167401</xdr:colOff>
      <xdr:row>16</xdr:row>
      <xdr:rowOff>55231</xdr:rowOff>
    </xdr:from>
    <xdr:to>
      <xdr:col>13</xdr:col>
      <xdr:colOff>186811</xdr:colOff>
      <xdr:row>17</xdr:row>
      <xdr:rowOff>90685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3905964" y="2567450"/>
          <a:ext cx="781410" cy="190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100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14</xdr:col>
      <xdr:colOff>151554</xdr:colOff>
      <xdr:row>17</xdr:row>
      <xdr:rowOff>22542</xdr:rowOff>
    </xdr:from>
    <xdr:to>
      <xdr:col>17</xdr:col>
      <xdr:colOff>275167</xdr:colOff>
      <xdr:row>20</xdr:row>
      <xdr:rowOff>11906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AA850B80-FA5F-41E1-A658-88A98526D259}"/>
            </a:ext>
          </a:extLst>
        </xdr:cNvPr>
        <xdr:cNvSpPr txBox="1"/>
      </xdr:nvSpPr>
      <xdr:spPr>
        <a:xfrm>
          <a:off x="5033117" y="2689542"/>
          <a:ext cx="1266613" cy="45370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 66KVA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3X70+70 = 40M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319088</xdr:colOff>
      <xdr:row>36</xdr:row>
      <xdr:rowOff>99217</xdr:rowOff>
    </xdr:from>
    <xdr:to>
      <xdr:col>13</xdr:col>
      <xdr:colOff>82640</xdr:colOff>
      <xdr:row>37</xdr:row>
      <xdr:rowOff>83745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4438651" y="5695155"/>
          <a:ext cx="144552" cy="151215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115092</xdr:colOff>
      <xdr:row>13</xdr:row>
      <xdr:rowOff>137584</xdr:rowOff>
    </xdr:from>
    <xdr:to>
      <xdr:col>11</xdr:col>
      <xdr:colOff>305593</xdr:colOff>
      <xdr:row>20</xdr:row>
      <xdr:rowOff>119062</xdr:rowOff>
    </xdr:to>
    <xdr:sp macro="" textlink="">
      <xdr:nvSpPr>
        <xdr:cNvPr id="259" name="TextBox 157">
          <a:extLst>
            <a:ext uri="{FF2B5EF4-FFF2-40B4-BE49-F238E27FC236}">
              <a16:creationId xmlns:a16="http://schemas.microsoft.com/office/drawing/2014/main" id="{F4E30960-589C-4110-B76D-3E686ADA01F6}"/>
            </a:ext>
          </a:extLst>
        </xdr:cNvPr>
        <xdr:cNvSpPr txBox="1"/>
      </xdr:nvSpPr>
      <xdr:spPr>
        <a:xfrm>
          <a:off x="2710655" y="2185459"/>
          <a:ext cx="1333501" cy="106494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K2-629N/100</a:t>
          </a:r>
        </a:p>
        <a:p>
          <a:pPr algn="l"/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DC-C1</a:t>
          </a:r>
        </a:p>
        <a:p>
          <a:pPr algn="l"/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P12-C2</a:t>
          </a:r>
        </a:p>
        <a:p>
          <a:pPr algn="l"/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</a:t>
          </a:r>
        </a:p>
        <a:p>
          <a:pPr algn="l"/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G312-A 100KVA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 CJ6-T</a:t>
          </a:r>
        </a:p>
      </xdr:txBody>
    </xdr:sp>
    <xdr:clientData/>
  </xdr:twoCellAnchor>
  <xdr:twoCellAnchor>
    <xdr:from>
      <xdr:col>12</xdr:col>
      <xdr:colOff>309563</xdr:colOff>
      <xdr:row>23</xdr:row>
      <xdr:rowOff>75607</xdr:rowOff>
    </xdr:from>
    <xdr:to>
      <xdr:col>12</xdr:col>
      <xdr:colOff>332742</xdr:colOff>
      <xdr:row>41</xdr:row>
      <xdr:rowOff>58624</xdr:rowOff>
    </xdr:to>
    <xdr:cxnSp macro="">
      <xdr:nvCxnSpPr>
        <xdr:cNvPr id="219" name="Straight Connector 218">
          <a:extLst>
            <a:ext uri="{FF2B5EF4-FFF2-40B4-BE49-F238E27FC236}">
              <a16:creationId xmlns:a16="http://schemas.microsoft.com/office/drawing/2014/main" id="{16C74AA8-023F-46A3-8B1F-8E643F06AFBE}"/>
            </a:ext>
          </a:extLst>
        </xdr:cNvPr>
        <xdr:cNvCxnSpPr>
          <a:stCxn id="139" idx="2"/>
          <a:endCxn id="239" idx="2"/>
        </xdr:cNvCxnSpPr>
      </xdr:nvCxnSpPr>
      <xdr:spPr>
        <a:xfrm flipH="1" flipV="1">
          <a:off x="4429126" y="3671295"/>
          <a:ext cx="23179" cy="278098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194469</xdr:colOff>
      <xdr:row>42</xdr:row>
      <xdr:rowOff>27780</xdr:rowOff>
    </xdr:from>
    <xdr:to>
      <xdr:col>13</xdr:col>
      <xdr:colOff>63522</xdr:colOff>
      <xdr:row>42</xdr:row>
      <xdr:rowOff>119586</xdr:rowOff>
    </xdr:to>
    <xdr:grpSp>
      <xdr:nvGrpSpPr>
        <xdr:cNvPr id="218" name="Group 134">
          <a:extLst>
            <a:ext uri="{FF2B5EF4-FFF2-40B4-BE49-F238E27FC236}">
              <a16:creationId xmlns:a16="http://schemas.microsoft.com/office/drawing/2014/main" id="{015A99B2-5E6E-4BFB-BFAA-4E1DDF93A5F0}"/>
            </a:ext>
          </a:extLst>
        </xdr:cNvPr>
        <xdr:cNvGrpSpPr/>
      </xdr:nvGrpSpPr>
      <xdr:grpSpPr>
        <a:xfrm>
          <a:off x="4314032" y="6576218"/>
          <a:ext cx="250053" cy="91806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220" name="Isosceles Triangle 118">
            <a:extLst>
              <a:ext uri="{FF2B5EF4-FFF2-40B4-BE49-F238E27FC236}">
                <a16:creationId xmlns:a16="http://schemas.microsoft.com/office/drawing/2014/main" id="{02B512D3-D5A2-78EA-8C82-C3355D7D9C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1" name="Isosceles Triangle 119">
            <a:extLst>
              <a:ext uri="{FF2B5EF4-FFF2-40B4-BE49-F238E27FC236}">
                <a16:creationId xmlns:a16="http://schemas.microsoft.com/office/drawing/2014/main" id="{1E90CD51-BDED-78A2-9EB8-9E3B6DE2712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2" name="Isosceles Triangle 120">
            <a:extLst>
              <a:ext uri="{FF2B5EF4-FFF2-40B4-BE49-F238E27FC236}">
                <a16:creationId xmlns:a16="http://schemas.microsoft.com/office/drawing/2014/main" id="{439A6BD0-EF8F-1246-CEEA-E987EC71FF6C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339991</xdr:colOff>
      <xdr:row>42</xdr:row>
      <xdr:rowOff>126999</xdr:rowOff>
    </xdr:from>
    <xdr:to>
      <xdr:col>13</xdr:col>
      <xdr:colOff>359401</xdr:colOff>
      <xdr:row>44</xdr:row>
      <xdr:rowOff>14285</xdr:rowOff>
    </xdr:to>
    <xdr:sp macro="" textlink="">
      <xdr:nvSpPr>
        <xdr:cNvPr id="223" name="TextBox 160">
          <a:extLst>
            <a:ext uri="{FF2B5EF4-FFF2-40B4-BE49-F238E27FC236}">
              <a16:creationId xmlns:a16="http://schemas.microsoft.com/office/drawing/2014/main" id="{CBE9D55D-4E9A-4C95-AC92-244018735BF3}"/>
            </a:ext>
          </a:extLst>
        </xdr:cNvPr>
        <xdr:cNvSpPr txBox="1"/>
      </xdr:nvSpPr>
      <xdr:spPr>
        <a:xfrm>
          <a:off x="4078554" y="6675437"/>
          <a:ext cx="781410" cy="1968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</a:rPr>
            <a:t>50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8</xdr:col>
      <xdr:colOff>273843</xdr:colOff>
      <xdr:row>21</xdr:row>
      <xdr:rowOff>83344</xdr:rowOff>
    </xdr:from>
    <xdr:to>
      <xdr:col>12</xdr:col>
      <xdr:colOff>16456</xdr:colOff>
      <xdr:row>27</xdr:row>
      <xdr:rowOff>11906</xdr:rowOff>
    </xdr:to>
    <xdr:sp macro="" textlink="">
      <xdr:nvSpPr>
        <xdr:cNvPr id="238" name="TextBox 157">
          <a:extLst>
            <a:ext uri="{FF2B5EF4-FFF2-40B4-BE49-F238E27FC236}">
              <a16:creationId xmlns:a16="http://schemas.microsoft.com/office/drawing/2014/main" id="{8FB31505-DB75-4C94-9D9E-8F44DF42CAFD}"/>
            </a:ext>
          </a:extLst>
        </xdr:cNvPr>
        <xdr:cNvSpPr txBox="1"/>
      </xdr:nvSpPr>
      <xdr:spPr>
        <a:xfrm>
          <a:off x="2869406" y="3369469"/>
          <a:ext cx="1266613" cy="8572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K2-629N/101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G105 50KVA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DC-C1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CJ5</a:t>
          </a:r>
        </a:p>
        <a:p>
          <a:pPr algn="ctr"/>
          <a:r>
            <a:rPr lang="en-US" sz="800" u="non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CJ6-T</a:t>
          </a:r>
        </a:p>
        <a:p>
          <a:pPr algn="ctr"/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  <a:endParaRPr lang="en-ID" sz="800" u="non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297656</xdr:colOff>
      <xdr:row>27</xdr:row>
      <xdr:rowOff>95249</xdr:rowOff>
    </xdr:from>
    <xdr:to>
      <xdr:col>13</xdr:col>
      <xdr:colOff>61208</xdr:colOff>
      <xdr:row>28</xdr:row>
      <xdr:rowOff>91681</xdr:rowOff>
    </xdr:to>
    <xdr:grpSp>
      <xdr:nvGrpSpPr>
        <xdr:cNvPr id="227" name="Group 13">
          <a:extLst>
            <a:ext uri="{FF2B5EF4-FFF2-40B4-BE49-F238E27FC236}">
              <a16:creationId xmlns:a16="http://schemas.microsoft.com/office/drawing/2014/main" id="{C53F446E-3C2E-436B-9CC1-A24F368CF5D5}"/>
            </a:ext>
          </a:extLst>
        </xdr:cNvPr>
        <xdr:cNvGrpSpPr/>
      </xdr:nvGrpSpPr>
      <xdr:grpSpPr>
        <a:xfrm>
          <a:off x="4417219" y="4310062"/>
          <a:ext cx="144552" cy="151213"/>
          <a:chOff x="9937028" y="802652"/>
          <a:chExt cx="83991" cy="77961"/>
        </a:xfrm>
      </xdr:grpSpPr>
      <xdr:sp macro="" textlink="">
        <xdr:nvSpPr>
          <xdr:cNvPr id="228" name="Oval 1">
            <a:extLst>
              <a:ext uri="{FF2B5EF4-FFF2-40B4-BE49-F238E27FC236}">
                <a16:creationId xmlns:a16="http://schemas.microsoft.com/office/drawing/2014/main" id="{DDB5F64B-C985-AD3C-D49B-DD09B009204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9" name="Straight Connector 3">
            <a:extLst>
              <a:ext uri="{FF2B5EF4-FFF2-40B4-BE49-F238E27FC236}">
                <a16:creationId xmlns:a16="http://schemas.microsoft.com/office/drawing/2014/main" id="{D57404BF-ACE2-1F69-5285-E2311CA63A7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7">
            <a:extLst>
              <a:ext uri="{FF2B5EF4-FFF2-40B4-BE49-F238E27FC236}">
                <a16:creationId xmlns:a16="http://schemas.microsoft.com/office/drawing/2014/main" id="{1BA758A0-7A05-A58E-0CBE-DF11A1AC075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309563</xdr:colOff>
      <xdr:row>23</xdr:row>
      <xdr:rowOff>0</xdr:rowOff>
    </xdr:from>
    <xdr:to>
      <xdr:col>13</xdr:col>
      <xdr:colOff>73115</xdr:colOff>
      <xdr:row>23</xdr:row>
      <xdr:rowOff>151213</xdr:rowOff>
    </xdr:to>
    <xdr:grpSp>
      <xdr:nvGrpSpPr>
        <xdr:cNvPr id="232" name="Group 13">
          <a:extLst>
            <a:ext uri="{FF2B5EF4-FFF2-40B4-BE49-F238E27FC236}">
              <a16:creationId xmlns:a16="http://schemas.microsoft.com/office/drawing/2014/main" id="{A1731CBC-7364-49AD-8DBE-C02088B16DB6}"/>
            </a:ext>
          </a:extLst>
        </xdr:cNvPr>
        <xdr:cNvGrpSpPr/>
      </xdr:nvGrpSpPr>
      <xdr:grpSpPr>
        <a:xfrm>
          <a:off x="4429126" y="3595688"/>
          <a:ext cx="144552" cy="151213"/>
          <a:chOff x="9937028" y="802652"/>
          <a:chExt cx="83991" cy="77961"/>
        </a:xfrm>
      </xdr:grpSpPr>
      <xdr:sp macro="" textlink="">
        <xdr:nvSpPr>
          <xdr:cNvPr id="239" name="Oval 1">
            <a:extLst>
              <a:ext uri="{FF2B5EF4-FFF2-40B4-BE49-F238E27FC236}">
                <a16:creationId xmlns:a16="http://schemas.microsoft.com/office/drawing/2014/main" id="{4F155009-8284-360B-876B-50AF9275D33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0" name="Straight Connector 3">
            <a:extLst>
              <a:ext uri="{FF2B5EF4-FFF2-40B4-BE49-F238E27FC236}">
                <a16:creationId xmlns:a16="http://schemas.microsoft.com/office/drawing/2014/main" id="{B498C482-50C2-9371-B6F6-8957AAD9B4D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7">
            <a:extLst>
              <a:ext uri="{FF2B5EF4-FFF2-40B4-BE49-F238E27FC236}">
                <a16:creationId xmlns:a16="http://schemas.microsoft.com/office/drawing/2014/main" id="{5B9BD811-E103-C949-0DCE-F3A2BE09D69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297657</xdr:colOff>
      <xdr:row>18</xdr:row>
      <xdr:rowOff>71438</xdr:rowOff>
    </xdr:from>
    <xdr:to>
      <xdr:col>13</xdr:col>
      <xdr:colOff>61209</xdr:colOff>
      <xdr:row>19</xdr:row>
      <xdr:rowOff>67869</xdr:rowOff>
    </xdr:to>
    <xdr:grpSp>
      <xdr:nvGrpSpPr>
        <xdr:cNvPr id="242" name="Group 13">
          <a:extLst>
            <a:ext uri="{FF2B5EF4-FFF2-40B4-BE49-F238E27FC236}">
              <a16:creationId xmlns:a16="http://schemas.microsoft.com/office/drawing/2014/main" id="{195050B9-1A32-41D9-9B71-40576C73EB17}"/>
            </a:ext>
          </a:extLst>
        </xdr:cNvPr>
        <xdr:cNvGrpSpPr/>
      </xdr:nvGrpSpPr>
      <xdr:grpSpPr>
        <a:xfrm>
          <a:off x="4417220" y="2893219"/>
          <a:ext cx="144552" cy="151213"/>
          <a:chOff x="9937028" y="802652"/>
          <a:chExt cx="83991" cy="77961"/>
        </a:xfrm>
      </xdr:grpSpPr>
      <xdr:sp macro="" textlink="">
        <xdr:nvSpPr>
          <xdr:cNvPr id="243" name="Oval 1">
            <a:extLst>
              <a:ext uri="{FF2B5EF4-FFF2-40B4-BE49-F238E27FC236}">
                <a16:creationId xmlns:a16="http://schemas.microsoft.com/office/drawing/2014/main" id="{56FB93B6-059C-3DF5-CD3F-01965375832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4" name="Straight Connector 3">
            <a:extLst>
              <a:ext uri="{FF2B5EF4-FFF2-40B4-BE49-F238E27FC236}">
                <a16:creationId xmlns:a16="http://schemas.microsoft.com/office/drawing/2014/main" id="{2B63CC01-2AD7-ACE4-E799-2FF3411FE7C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7">
            <a:extLst>
              <a:ext uri="{FF2B5EF4-FFF2-40B4-BE49-F238E27FC236}">
                <a16:creationId xmlns:a16="http://schemas.microsoft.com/office/drawing/2014/main" id="{734DFE13-2A3D-D3B5-7045-A9A0E109DC7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226219</xdr:colOff>
      <xdr:row>25</xdr:row>
      <xdr:rowOff>142875</xdr:rowOff>
    </xdr:from>
    <xdr:to>
      <xdr:col>12</xdr:col>
      <xdr:colOff>365354</xdr:colOff>
      <xdr:row>26</xdr:row>
      <xdr:rowOff>57233</xdr:rowOff>
    </xdr:to>
    <xdr:grpSp>
      <xdr:nvGrpSpPr>
        <xdr:cNvPr id="252" name="Grup 239">
          <a:extLst>
            <a:ext uri="{FF2B5EF4-FFF2-40B4-BE49-F238E27FC236}">
              <a16:creationId xmlns:a16="http://schemas.microsoft.com/office/drawing/2014/main" id="{C320124E-4479-45D7-9F95-350A585416E6}"/>
            </a:ext>
          </a:extLst>
        </xdr:cNvPr>
        <xdr:cNvGrpSpPr/>
      </xdr:nvGrpSpPr>
      <xdr:grpSpPr>
        <a:xfrm>
          <a:off x="4345782" y="4048125"/>
          <a:ext cx="139135" cy="69139"/>
          <a:chOff x="13302191" y="2320613"/>
          <a:chExt cx="139135" cy="57233"/>
        </a:xfrm>
      </xdr:grpSpPr>
      <xdr:cxnSp macro="">
        <xdr:nvCxnSpPr>
          <xdr:cNvPr id="253" name="Straight Connector 81">
            <a:extLst>
              <a:ext uri="{FF2B5EF4-FFF2-40B4-BE49-F238E27FC236}">
                <a16:creationId xmlns:a16="http://schemas.microsoft.com/office/drawing/2014/main" id="{6FF22DF7-E751-AFBC-B250-02EEE4BAABA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82">
            <a:extLst>
              <a:ext uri="{FF2B5EF4-FFF2-40B4-BE49-F238E27FC236}">
                <a16:creationId xmlns:a16="http://schemas.microsoft.com/office/drawing/2014/main" id="{4F722274-69EE-BD9D-05DB-CD40D001F0A8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83">
            <a:extLst>
              <a:ext uri="{FF2B5EF4-FFF2-40B4-BE49-F238E27FC236}">
                <a16:creationId xmlns:a16="http://schemas.microsoft.com/office/drawing/2014/main" id="{631D9518-BF64-FC43-F152-2B87247467B8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84">
            <a:extLst>
              <a:ext uri="{FF2B5EF4-FFF2-40B4-BE49-F238E27FC236}">
                <a16:creationId xmlns:a16="http://schemas.microsoft.com/office/drawing/2014/main" id="{741CD165-8591-F5E8-B34F-DF46F32681E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223838</xdr:colOff>
      <xdr:row>30</xdr:row>
      <xdr:rowOff>104775</xdr:rowOff>
    </xdr:from>
    <xdr:to>
      <xdr:col>12</xdr:col>
      <xdr:colOff>362973</xdr:colOff>
      <xdr:row>31</xdr:row>
      <xdr:rowOff>19133</xdr:rowOff>
    </xdr:to>
    <xdr:grpSp>
      <xdr:nvGrpSpPr>
        <xdr:cNvPr id="257" name="Grup 239">
          <a:extLst>
            <a:ext uri="{FF2B5EF4-FFF2-40B4-BE49-F238E27FC236}">
              <a16:creationId xmlns:a16="http://schemas.microsoft.com/office/drawing/2014/main" id="{22913BE1-56E4-4651-90EA-951E6325CB37}"/>
            </a:ext>
          </a:extLst>
        </xdr:cNvPr>
        <xdr:cNvGrpSpPr/>
      </xdr:nvGrpSpPr>
      <xdr:grpSpPr>
        <a:xfrm>
          <a:off x="4343401" y="4772025"/>
          <a:ext cx="139135" cy="69139"/>
          <a:chOff x="13302191" y="2320613"/>
          <a:chExt cx="139135" cy="57233"/>
        </a:xfrm>
      </xdr:grpSpPr>
      <xdr:cxnSp macro="">
        <xdr:nvCxnSpPr>
          <xdr:cNvPr id="258" name="Straight Connector 81">
            <a:extLst>
              <a:ext uri="{FF2B5EF4-FFF2-40B4-BE49-F238E27FC236}">
                <a16:creationId xmlns:a16="http://schemas.microsoft.com/office/drawing/2014/main" id="{55992BA0-0877-5705-A1C5-5124CD19A78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Connector 82">
            <a:extLst>
              <a:ext uri="{FF2B5EF4-FFF2-40B4-BE49-F238E27FC236}">
                <a16:creationId xmlns:a16="http://schemas.microsoft.com/office/drawing/2014/main" id="{F0FA8071-2F6A-D5AE-3DD2-CA959DA0DCA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1" name="Straight Connector 83">
            <a:extLst>
              <a:ext uri="{FF2B5EF4-FFF2-40B4-BE49-F238E27FC236}">
                <a16:creationId xmlns:a16="http://schemas.microsoft.com/office/drawing/2014/main" id="{74D88D94-E8AD-5EFF-51CC-0B8997C5F9D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Connector 84">
            <a:extLst>
              <a:ext uri="{FF2B5EF4-FFF2-40B4-BE49-F238E27FC236}">
                <a16:creationId xmlns:a16="http://schemas.microsoft.com/office/drawing/2014/main" id="{002099A5-C07B-918C-F261-6DD5C16B74A2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280988</xdr:colOff>
      <xdr:row>34</xdr:row>
      <xdr:rowOff>90487</xdr:rowOff>
    </xdr:from>
    <xdr:to>
      <xdr:col>13</xdr:col>
      <xdr:colOff>39123</xdr:colOff>
      <xdr:row>35</xdr:row>
      <xdr:rowOff>4845</xdr:rowOff>
    </xdr:to>
    <xdr:grpSp>
      <xdr:nvGrpSpPr>
        <xdr:cNvPr id="263" name="Grup 239">
          <a:extLst>
            <a:ext uri="{FF2B5EF4-FFF2-40B4-BE49-F238E27FC236}">
              <a16:creationId xmlns:a16="http://schemas.microsoft.com/office/drawing/2014/main" id="{A90E09D6-E06E-4958-8381-3C2DAFE49242}"/>
            </a:ext>
          </a:extLst>
        </xdr:cNvPr>
        <xdr:cNvGrpSpPr/>
      </xdr:nvGrpSpPr>
      <xdr:grpSpPr>
        <a:xfrm>
          <a:off x="4400551" y="5376862"/>
          <a:ext cx="139135" cy="69139"/>
          <a:chOff x="13302191" y="2320613"/>
          <a:chExt cx="139135" cy="57233"/>
        </a:xfrm>
      </xdr:grpSpPr>
      <xdr:cxnSp macro="">
        <xdr:nvCxnSpPr>
          <xdr:cNvPr id="264" name="Straight Connector 81">
            <a:extLst>
              <a:ext uri="{FF2B5EF4-FFF2-40B4-BE49-F238E27FC236}">
                <a16:creationId xmlns:a16="http://schemas.microsoft.com/office/drawing/2014/main" id="{39C63D93-C3FC-B578-605A-2EA8C0CAE9C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5" name="Straight Connector 82">
            <a:extLst>
              <a:ext uri="{FF2B5EF4-FFF2-40B4-BE49-F238E27FC236}">
                <a16:creationId xmlns:a16="http://schemas.microsoft.com/office/drawing/2014/main" id="{7BD922E2-C3A5-311D-542E-E1D3CF81A400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83">
            <a:extLst>
              <a:ext uri="{FF2B5EF4-FFF2-40B4-BE49-F238E27FC236}">
                <a16:creationId xmlns:a16="http://schemas.microsoft.com/office/drawing/2014/main" id="{039787C0-D909-C6AF-EEE2-F5E3A744C57C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" name="Straight Connector 84">
            <a:extLst>
              <a:ext uri="{FF2B5EF4-FFF2-40B4-BE49-F238E27FC236}">
                <a16:creationId xmlns:a16="http://schemas.microsoft.com/office/drawing/2014/main" id="{6B1A5F1A-ED6E-8162-66DE-6FF5C9CE34A9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266700</xdr:colOff>
      <xdr:row>38</xdr:row>
      <xdr:rowOff>123825</xdr:rowOff>
    </xdr:from>
    <xdr:to>
      <xdr:col>13</xdr:col>
      <xdr:colOff>24835</xdr:colOff>
      <xdr:row>39</xdr:row>
      <xdr:rowOff>38183</xdr:rowOff>
    </xdr:to>
    <xdr:grpSp>
      <xdr:nvGrpSpPr>
        <xdr:cNvPr id="268" name="Grup 239">
          <a:extLst>
            <a:ext uri="{FF2B5EF4-FFF2-40B4-BE49-F238E27FC236}">
              <a16:creationId xmlns:a16="http://schemas.microsoft.com/office/drawing/2014/main" id="{FD0315F2-5854-4055-8201-7E60A701B8B6}"/>
            </a:ext>
          </a:extLst>
        </xdr:cNvPr>
        <xdr:cNvGrpSpPr/>
      </xdr:nvGrpSpPr>
      <xdr:grpSpPr>
        <a:xfrm>
          <a:off x="4386263" y="6053138"/>
          <a:ext cx="139135" cy="69139"/>
          <a:chOff x="13302191" y="2320613"/>
          <a:chExt cx="139135" cy="57233"/>
        </a:xfrm>
      </xdr:grpSpPr>
      <xdr:cxnSp macro="">
        <xdr:nvCxnSpPr>
          <xdr:cNvPr id="269" name="Straight Connector 81">
            <a:extLst>
              <a:ext uri="{FF2B5EF4-FFF2-40B4-BE49-F238E27FC236}">
                <a16:creationId xmlns:a16="http://schemas.microsoft.com/office/drawing/2014/main" id="{B637B4CA-2725-33C8-6DFA-488953F2B27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0" name="Straight Connector 82">
            <a:extLst>
              <a:ext uri="{FF2B5EF4-FFF2-40B4-BE49-F238E27FC236}">
                <a16:creationId xmlns:a16="http://schemas.microsoft.com/office/drawing/2014/main" id="{ECC5F3EB-B872-2605-5673-E2302F0837D9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1" name="Straight Connector 83">
            <a:extLst>
              <a:ext uri="{FF2B5EF4-FFF2-40B4-BE49-F238E27FC236}">
                <a16:creationId xmlns:a16="http://schemas.microsoft.com/office/drawing/2014/main" id="{B3156205-5A07-7946-A9F8-5E8B80AC2D2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84">
            <a:extLst>
              <a:ext uri="{FF2B5EF4-FFF2-40B4-BE49-F238E27FC236}">
                <a16:creationId xmlns:a16="http://schemas.microsoft.com/office/drawing/2014/main" id="{0368DCE0-29D0-0EC2-7A15-DD02B07FE62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73115</xdr:colOff>
      <xdr:row>23</xdr:row>
      <xdr:rowOff>75607</xdr:rowOff>
    </xdr:from>
    <xdr:to>
      <xdr:col>14</xdr:col>
      <xdr:colOff>273845</xdr:colOff>
      <xdr:row>23</xdr:row>
      <xdr:rowOff>136921</xdr:rowOff>
    </xdr:to>
    <xdr:cxnSp macro="">
      <xdr:nvCxnSpPr>
        <xdr:cNvPr id="273" name="Straight Connector 272">
          <a:extLst>
            <a:ext uri="{FF2B5EF4-FFF2-40B4-BE49-F238E27FC236}">
              <a16:creationId xmlns:a16="http://schemas.microsoft.com/office/drawing/2014/main" id="{57E84BC7-0C9D-4A20-B45D-090DB96E3020}"/>
            </a:ext>
          </a:extLst>
        </xdr:cNvPr>
        <xdr:cNvCxnSpPr>
          <a:stCxn id="239" idx="6"/>
          <a:endCxn id="274" idx="1"/>
        </xdr:cNvCxnSpPr>
      </xdr:nvCxnSpPr>
      <xdr:spPr>
        <a:xfrm>
          <a:off x="4573678" y="3671295"/>
          <a:ext cx="581730" cy="613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273845</xdr:colOff>
      <xdr:row>23</xdr:row>
      <xdr:rowOff>59530</xdr:rowOff>
    </xdr:from>
    <xdr:to>
      <xdr:col>15</xdr:col>
      <xdr:colOff>35719</xdr:colOff>
      <xdr:row>24</xdr:row>
      <xdr:rowOff>59530</xdr:rowOff>
    </xdr:to>
    <xdr:sp macro="" textlink="">
      <xdr:nvSpPr>
        <xdr:cNvPr id="274" name="Rectangle 273">
          <a:extLst>
            <a:ext uri="{FF2B5EF4-FFF2-40B4-BE49-F238E27FC236}">
              <a16:creationId xmlns:a16="http://schemas.microsoft.com/office/drawing/2014/main" id="{E73AD9A5-7245-4AD5-95B6-45DC3E37FFF5}"/>
            </a:ext>
          </a:extLst>
        </xdr:cNvPr>
        <xdr:cNvSpPr/>
      </xdr:nvSpPr>
      <xdr:spPr>
        <a:xfrm>
          <a:off x="5155408" y="3655218"/>
          <a:ext cx="142874" cy="154781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13</xdr:col>
      <xdr:colOff>297657</xdr:colOff>
      <xdr:row>23</xdr:row>
      <xdr:rowOff>83342</xdr:rowOff>
    </xdr:from>
    <xdr:to>
      <xdr:col>14</xdr:col>
      <xdr:colOff>55792</xdr:colOff>
      <xdr:row>23</xdr:row>
      <xdr:rowOff>152481</xdr:rowOff>
    </xdr:to>
    <xdr:grpSp>
      <xdr:nvGrpSpPr>
        <xdr:cNvPr id="276" name="Grup 234">
          <a:extLst>
            <a:ext uri="{FF2B5EF4-FFF2-40B4-BE49-F238E27FC236}">
              <a16:creationId xmlns:a16="http://schemas.microsoft.com/office/drawing/2014/main" id="{D1E3FEFE-9547-46D1-A39F-994B41A86627}"/>
            </a:ext>
          </a:extLst>
        </xdr:cNvPr>
        <xdr:cNvGrpSpPr/>
      </xdr:nvGrpSpPr>
      <xdr:grpSpPr>
        <a:xfrm>
          <a:off x="4798220" y="3679030"/>
          <a:ext cx="139135" cy="69139"/>
          <a:chOff x="13302191" y="2320613"/>
          <a:chExt cx="139135" cy="57233"/>
        </a:xfrm>
      </xdr:grpSpPr>
      <xdr:cxnSp macro="">
        <xdr:nvCxnSpPr>
          <xdr:cNvPr id="277" name="Straight Connector 276">
            <a:extLst>
              <a:ext uri="{FF2B5EF4-FFF2-40B4-BE49-F238E27FC236}">
                <a16:creationId xmlns:a16="http://schemas.microsoft.com/office/drawing/2014/main" id="{A2D6B0E8-7817-343E-00B3-DF21733EB44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8" name="Straight Connector 277">
            <a:extLst>
              <a:ext uri="{FF2B5EF4-FFF2-40B4-BE49-F238E27FC236}">
                <a16:creationId xmlns:a16="http://schemas.microsoft.com/office/drawing/2014/main" id="{C89E4A97-5986-593A-998D-5529E4D7A85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9" name="Straight Connector 278">
            <a:extLst>
              <a:ext uri="{FF2B5EF4-FFF2-40B4-BE49-F238E27FC236}">
                <a16:creationId xmlns:a16="http://schemas.microsoft.com/office/drawing/2014/main" id="{3E05404E-4143-401D-CC3C-AC6E8A93F1B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Straight Connector 279">
            <a:extLst>
              <a:ext uri="{FF2B5EF4-FFF2-40B4-BE49-F238E27FC236}">
                <a16:creationId xmlns:a16="http://schemas.microsoft.com/office/drawing/2014/main" id="{2180F9AA-42C1-5E43-4F5E-0FA79AC46EE9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297656</xdr:colOff>
      <xdr:row>19</xdr:row>
      <xdr:rowOff>10124</xdr:rowOff>
    </xdr:from>
    <xdr:to>
      <xdr:col>12</xdr:col>
      <xdr:colOff>309562</xdr:colOff>
      <xdr:row>23</xdr:row>
      <xdr:rowOff>71438</xdr:rowOff>
    </xdr:to>
    <xdr:cxnSp macro="">
      <xdr:nvCxnSpPr>
        <xdr:cNvPr id="282" name="Straight Connector 281">
          <a:extLst>
            <a:ext uri="{FF2B5EF4-FFF2-40B4-BE49-F238E27FC236}">
              <a16:creationId xmlns:a16="http://schemas.microsoft.com/office/drawing/2014/main" id="{7E5AC0CD-1BCE-4EEE-9533-377AF9EBB5CF}"/>
            </a:ext>
          </a:extLst>
        </xdr:cNvPr>
        <xdr:cNvCxnSpPr/>
      </xdr:nvCxnSpPr>
      <xdr:spPr>
        <a:xfrm>
          <a:off x="4417219" y="2986687"/>
          <a:ext cx="11906" cy="68043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238125</xdr:colOff>
      <xdr:row>21</xdr:row>
      <xdr:rowOff>47625</xdr:rowOff>
    </xdr:from>
    <xdr:to>
      <xdr:col>12</xdr:col>
      <xdr:colOff>377260</xdr:colOff>
      <xdr:row>21</xdr:row>
      <xdr:rowOff>116764</xdr:rowOff>
    </xdr:to>
    <xdr:grpSp>
      <xdr:nvGrpSpPr>
        <xdr:cNvPr id="285" name="Grup 234">
          <a:extLst>
            <a:ext uri="{FF2B5EF4-FFF2-40B4-BE49-F238E27FC236}">
              <a16:creationId xmlns:a16="http://schemas.microsoft.com/office/drawing/2014/main" id="{447FA3CA-913D-4286-A017-5F12815BBA56}"/>
            </a:ext>
          </a:extLst>
        </xdr:cNvPr>
        <xdr:cNvGrpSpPr/>
      </xdr:nvGrpSpPr>
      <xdr:grpSpPr>
        <a:xfrm>
          <a:off x="4357688" y="3333750"/>
          <a:ext cx="139135" cy="69139"/>
          <a:chOff x="13302191" y="2320613"/>
          <a:chExt cx="139135" cy="57233"/>
        </a:xfrm>
      </xdr:grpSpPr>
      <xdr:cxnSp macro="">
        <xdr:nvCxnSpPr>
          <xdr:cNvPr id="286" name="Straight Connector 285">
            <a:extLst>
              <a:ext uri="{FF2B5EF4-FFF2-40B4-BE49-F238E27FC236}">
                <a16:creationId xmlns:a16="http://schemas.microsoft.com/office/drawing/2014/main" id="{B17637E8-6F58-F301-669E-FBBD214038CB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7" name="Straight Connector 286">
            <a:extLst>
              <a:ext uri="{FF2B5EF4-FFF2-40B4-BE49-F238E27FC236}">
                <a16:creationId xmlns:a16="http://schemas.microsoft.com/office/drawing/2014/main" id="{56C5DE3F-698D-88D6-BEF7-36A47EA4AB5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8" name="Straight Connector 287">
            <a:extLst>
              <a:ext uri="{FF2B5EF4-FFF2-40B4-BE49-F238E27FC236}">
                <a16:creationId xmlns:a16="http://schemas.microsoft.com/office/drawing/2014/main" id="{B50F837D-EDBE-161D-3718-543219BC5D45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Straight Connector 288">
            <a:extLst>
              <a:ext uri="{FF2B5EF4-FFF2-40B4-BE49-F238E27FC236}">
                <a16:creationId xmlns:a16="http://schemas.microsoft.com/office/drawing/2014/main" id="{CAC5A532-E95D-2696-CD46-E3E07927010D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59531</xdr:colOff>
      <xdr:row>21</xdr:row>
      <xdr:rowOff>83344</xdr:rowOff>
    </xdr:from>
    <xdr:to>
      <xdr:col>15</xdr:col>
      <xdr:colOff>-1</xdr:colOff>
      <xdr:row>23</xdr:row>
      <xdr:rowOff>23813</xdr:rowOff>
    </xdr:to>
    <xdr:cxnSp macro="">
      <xdr:nvCxnSpPr>
        <xdr:cNvPr id="290" name="Straight Connector 289">
          <a:extLst>
            <a:ext uri="{FF2B5EF4-FFF2-40B4-BE49-F238E27FC236}">
              <a16:creationId xmlns:a16="http://schemas.microsoft.com/office/drawing/2014/main" id="{A76F9326-3E72-48C6-9923-C281EB06CE8B}"/>
            </a:ext>
          </a:extLst>
        </xdr:cNvPr>
        <xdr:cNvCxnSpPr/>
      </xdr:nvCxnSpPr>
      <xdr:spPr>
        <a:xfrm flipV="1">
          <a:off x="4560094" y="3369469"/>
          <a:ext cx="702468" cy="25003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250031</xdr:colOff>
      <xdr:row>21</xdr:row>
      <xdr:rowOff>11906</xdr:rowOff>
    </xdr:from>
    <xdr:to>
      <xdr:col>15</xdr:col>
      <xdr:colOff>11905</xdr:colOff>
      <xdr:row>22</xdr:row>
      <xdr:rowOff>11906</xdr:rowOff>
    </xdr:to>
    <xdr:sp macro="" textlink="">
      <xdr:nvSpPr>
        <xdr:cNvPr id="293" name="Rectangle 292">
          <a:extLst>
            <a:ext uri="{FF2B5EF4-FFF2-40B4-BE49-F238E27FC236}">
              <a16:creationId xmlns:a16="http://schemas.microsoft.com/office/drawing/2014/main" id="{48D8180C-7051-4E5B-BE83-C8E6062EC072}"/>
            </a:ext>
          </a:extLst>
        </xdr:cNvPr>
        <xdr:cNvSpPr/>
      </xdr:nvSpPr>
      <xdr:spPr>
        <a:xfrm>
          <a:off x="5131594" y="3298031"/>
          <a:ext cx="142874" cy="154781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13</xdr:col>
      <xdr:colOff>309563</xdr:colOff>
      <xdr:row>22</xdr:row>
      <xdr:rowOff>23813</xdr:rowOff>
    </xdr:from>
    <xdr:to>
      <xdr:col>14</xdr:col>
      <xdr:colOff>67698</xdr:colOff>
      <xdr:row>22</xdr:row>
      <xdr:rowOff>92952</xdr:rowOff>
    </xdr:to>
    <xdr:grpSp>
      <xdr:nvGrpSpPr>
        <xdr:cNvPr id="294" name="Grup 234">
          <a:extLst>
            <a:ext uri="{FF2B5EF4-FFF2-40B4-BE49-F238E27FC236}">
              <a16:creationId xmlns:a16="http://schemas.microsoft.com/office/drawing/2014/main" id="{B4BD49C2-1C25-4083-97F4-E2C19DBAD609}"/>
            </a:ext>
          </a:extLst>
        </xdr:cNvPr>
        <xdr:cNvGrpSpPr/>
      </xdr:nvGrpSpPr>
      <xdr:grpSpPr>
        <a:xfrm>
          <a:off x="4810126" y="3464719"/>
          <a:ext cx="139135" cy="69139"/>
          <a:chOff x="13302191" y="2320613"/>
          <a:chExt cx="139135" cy="57233"/>
        </a:xfrm>
      </xdr:grpSpPr>
      <xdr:cxnSp macro="">
        <xdr:nvCxnSpPr>
          <xdr:cNvPr id="295" name="Straight Connector 294">
            <a:extLst>
              <a:ext uri="{FF2B5EF4-FFF2-40B4-BE49-F238E27FC236}">
                <a16:creationId xmlns:a16="http://schemas.microsoft.com/office/drawing/2014/main" id="{ECC6536A-2B15-64F3-01B7-A53C50B68AE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6" name="Straight Connector 295">
            <a:extLst>
              <a:ext uri="{FF2B5EF4-FFF2-40B4-BE49-F238E27FC236}">
                <a16:creationId xmlns:a16="http://schemas.microsoft.com/office/drawing/2014/main" id="{21926637-23B4-B472-1AF6-3A4FB4C1981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Straight Connector 296">
            <a:extLst>
              <a:ext uri="{FF2B5EF4-FFF2-40B4-BE49-F238E27FC236}">
                <a16:creationId xmlns:a16="http://schemas.microsoft.com/office/drawing/2014/main" id="{08746CFD-9B3B-A4DF-0C20-EA8894065CAF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8" name="Straight Connector 297">
            <a:extLst>
              <a:ext uri="{FF2B5EF4-FFF2-40B4-BE49-F238E27FC236}">
                <a16:creationId xmlns:a16="http://schemas.microsoft.com/office/drawing/2014/main" id="{7BA29A25-D761-CF1A-68A1-8C81581BDBF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119062</xdr:colOff>
      <xdr:row>23</xdr:row>
      <xdr:rowOff>23812</xdr:rowOff>
    </xdr:from>
    <xdr:to>
      <xdr:col>12</xdr:col>
      <xdr:colOff>280181</xdr:colOff>
      <xdr:row>23</xdr:row>
      <xdr:rowOff>109003</xdr:rowOff>
    </xdr:to>
    <xdr:sp macro="" textlink="">
      <xdr:nvSpPr>
        <xdr:cNvPr id="299" name="Isosceles Triangle 120">
          <a:extLst>
            <a:ext uri="{FF2B5EF4-FFF2-40B4-BE49-F238E27FC236}">
              <a16:creationId xmlns:a16="http://schemas.microsoft.com/office/drawing/2014/main" id="{65C3EADC-122F-47A8-A3F3-A0A6B18C7730}"/>
            </a:ext>
          </a:extLst>
        </xdr:cNvPr>
        <xdr:cNvSpPr/>
      </xdr:nvSpPr>
      <xdr:spPr>
        <a:xfrm>
          <a:off x="4238625" y="3619500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333375</xdr:colOff>
      <xdr:row>22</xdr:row>
      <xdr:rowOff>130970</xdr:rowOff>
    </xdr:from>
    <xdr:to>
      <xdr:col>15</xdr:col>
      <xdr:colOff>142874</xdr:colOff>
      <xdr:row>25</xdr:row>
      <xdr:rowOff>23813</xdr:rowOff>
    </xdr:to>
    <xdr:cxnSp macro="">
      <xdr:nvCxnSpPr>
        <xdr:cNvPr id="300" name="Straight Connector 299">
          <a:extLst>
            <a:ext uri="{FF2B5EF4-FFF2-40B4-BE49-F238E27FC236}">
              <a16:creationId xmlns:a16="http://schemas.microsoft.com/office/drawing/2014/main" id="{6A753FA6-B8A7-4E81-9D7D-88F84A674554}"/>
            </a:ext>
          </a:extLst>
        </xdr:cNvPr>
        <xdr:cNvCxnSpPr/>
      </xdr:nvCxnSpPr>
      <xdr:spPr>
        <a:xfrm>
          <a:off x="4833938" y="3571876"/>
          <a:ext cx="571499" cy="35718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250030</xdr:colOff>
      <xdr:row>22</xdr:row>
      <xdr:rowOff>130969</xdr:rowOff>
    </xdr:from>
    <xdr:to>
      <xdr:col>15</xdr:col>
      <xdr:colOff>83343</xdr:colOff>
      <xdr:row>24</xdr:row>
      <xdr:rowOff>142874</xdr:rowOff>
    </xdr:to>
    <xdr:cxnSp macro="">
      <xdr:nvCxnSpPr>
        <xdr:cNvPr id="302" name="Straight Connector 301">
          <a:extLst>
            <a:ext uri="{FF2B5EF4-FFF2-40B4-BE49-F238E27FC236}">
              <a16:creationId xmlns:a16="http://schemas.microsoft.com/office/drawing/2014/main" id="{6DF26385-32A4-44DC-A771-1C2CCD3A5523}"/>
            </a:ext>
          </a:extLst>
        </xdr:cNvPr>
        <xdr:cNvCxnSpPr/>
      </xdr:nvCxnSpPr>
      <xdr:spPr>
        <a:xfrm flipH="1">
          <a:off x="4750593" y="3571875"/>
          <a:ext cx="595313" cy="32146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24</xdr:row>
      <xdr:rowOff>142875</xdr:rowOff>
    </xdr:from>
    <xdr:to>
      <xdr:col>13</xdr:col>
      <xdr:colOff>35718</xdr:colOff>
      <xdr:row>27</xdr:row>
      <xdr:rowOff>83343</xdr:rowOff>
    </xdr:to>
    <xdr:cxnSp macro="">
      <xdr:nvCxnSpPr>
        <xdr:cNvPr id="304" name="Straight Connector 303">
          <a:extLst>
            <a:ext uri="{FF2B5EF4-FFF2-40B4-BE49-F238E27FC236}">
              <a16:creationId xmlns:a16="http://schemas.microsoft.com/office/drawing/2014/main" id="{98CE48C5-F37B-4BB4-8900-286131BB0034}"/>
            </a:ext>
          </a:extLst>
        </xdr:cNvPr>
        <xdr:cNvCxnSpPr/>
      </xdr:nvCxnSpPr>
      <xdr:spPr>
        <a:xfrm flipH="1">
          <a:off x="4310063" y="3893344"/>
          <a:ext cx="226218" cy="40481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166688</xdr:colOff>
      <xdr:row>24</xdr:row>
      <xdr:rowOff>95250</xdr:rowOff>
    </xdr:from>
    <xdr:to>
      <xdr:col>13</xdr:col>
      <xdr:colOff>35718</xdr:colOff>
      <xdr:row>27</xdr:row>
      <xdr:rowOff>11906</xdr:rowOff>
    </xdr:to>
    <xdr:cxnSp macro="">
      <xdr:nvCxnSpPr>
        <xdr:cNvPr id="306" name="Straight Connector 305">
          <a:extLst>
            <a:ext uri="{FF2B5EF4-FFF2-40B4-BE49-F238E27FC236}">
              <a16:creationId xmlns:a16="http://schemas.microsoft.com/office/drawing/2014/main" id="{A26D65AA-A4A0-4CA9-AD3B-E3964CE3A76C}"/>
            </a:ext>
          </a:extLst>
        </xdr:cNvPr>
        <xdr:cNvCxnSpPr/>
      </xdr:nvCxnSpPr>
      <xdr:spPr>
        <a:xfrm>
          <a:off x="4286251" y="3845719"/>
          <a:ext cx="250030" cy="381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214311</xdr:colOff>
      <xdr:row>30</xdr:row>
      <xdr:rowOff>0</xdr:rowOff>
    </xdr:from>
    <xdr:to>
      <xdr:col>13</xdr:col>
      <xdr:colOff>71436</xdr:colOff>
      <xdr:row>32</xdr:row>
      <xdr:rowOff>-1</xdr:rowOff>
    </xdr:to>
    <xdr:cxnSp macro="">
      <xdr:nvCxnSpPr>
        <xdr:cNvPr id="308" name="Straight Connector 307">
          <a:extLst>
            <a:ext uri="{FF2B5EF4-FFF2-40B4-BE49-F238E27FC236}">
              <a16:creationId xmlns:a16="http://schemas.microsoft.com/office/drawing/2014/main" id="{5162A645-9BA2-496F-807C-ED7DF34CF8E5}"/>
            </a:ext>
          </a:extLst>
        </xdr:cNvPr>
        <xdr:cNvCxnSpPr/>
      </xdr:nvCxnSpPr>
      <xdr:spPr>
        <a:xfrm flipH="1">
          <a:off x="4333874" y="4667250"/>
          <a:ext cx="238125" cy="30956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142874</xdr:colOff>
      <xdr:row>29</xdr:row>
      <xdr:rowOff>47625</xdr:rowOff>
    </xdr:from>
    <xdr:to>
      <xdr:col>13</xdr:col>
      <xdr:colOff>35717</xdr:colOff>
      <xdr:row>31</xdr:row>
      <xdr:rowOff>130968</xdr:rowOff>
    </xdr:to>
    <xdr:cxnSp macro="">
      <xdr:nvCxnSpPr>
        <xdr:cNvPr id="311" name="Straight Connector 310">
          <a:extLst>
            <a:ext uri="{FF2B5EF4-FFF2-40B4-BE49-F238E27FC236}">
              <a16:creationId xmlns:a16="http://schemas.microsoft.com/office/drawing/2014/main" id="{05A40AFB-1D0C-4194-896E-C630CE04985E}"/>
            </a:ext>
          </a:extLst>
        </xdr:cNvPr>
        <xdr:cNvCxnSpPr/>
      </xdr:nvCxnSpPr>
      <xdr:spPr>
        <a:xfrm>
          <a:off x="4262437" y="4572000"/>
          <a:ext cx="273843" cy="38099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238125</xdr:colOff>
      <xdr:row>33</xdr:row>
      <xdr:rowOff>142875</xdr:rowOff>
    </xdr:from>
    <xdr:to>
      <xdr:col>13</xdr:col>
      <xdr:colOff>47624</xdr:colOff>
      <xdr:row>36</xdr:row>
      <xdr:rowOff>11905</xdr:rowOff>
    </xdr:to>
    <xdr:cxnSp macro="">
      <xdr:nvCxnSpPr>
        <xdr:cNvPr id="313" name="Straight Connector 312">
          <a:extLst>
            <a:ext uri="{FF2B5EF4-FFF2-40B4-BE49-F238E27FC236}">
              <a16:creationId xmlns:a16="http://schemas.microsoft.com/office/drawing/2014/main" id="{9FA3F357-28BC-40AF-99D8-45524DFE95DC}"/>
            </a:ext>
          </a:extLst>
        </xdr:cNvPr>
        <xdr:cNvCxnSpPr/>
      </xdr:nvCxnSpPr>
      <xdr:spPr>
        <a:xfrm flipH="1">
          <a:off x="4357688" y="5274469"/>
          <a:ext cx="190499" cy="3333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190499</xdr:colOff>
      <xdr:row>33</xdr:row>
      <xdr:rowOff>71437</xdr:rowOff>
    </xdr:from>
    <xdr:to>
      <xdr:col>13</xdr:col>
      <xdr:colOff>11906</xdr:colOff>
      <xdr:row>36</xdr:row>
      <xdr:rowOff>-1</xdr:rowOff>
    </xdr:to>
    <xdr:cxnSp macro="">
      <xdr:nvCxnSpPr>
        <xdr:cNvPr id="315" name="Straight Connector 314">
          <a:extLst>
            <a:ext uri="{FF2B5EF4-FFF2-40B4-BE49-F238E27FC236}">
              <a16:creationId xmlns:a16="http://schemas.microsoft.com/office/drawing/2014/main" id="{07FA2D5E-F17F-4B1C-AFE1-5A4FE6C697F3}"/>
            </a:ext>
          </a:extLst>
        </xdr:cNvPr>
        <xdr:cNvCxnSpPr/>
      </xdr:nvCxnSpPr>
      <xdr:spPr>
        <a:xfrm>
          <a:off x="4310062" y="5203031"/>
          <a:ext cx="202407" cy="39290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226219</xdr:colOff>
      <xdr:row>38</xdr:row>
      <xdr:rowOff>59531</xdr:rowOff>
    </xdr:from>
    <xdr:to>
      <xdr:col>13</xdr:col>
      <xdr:colOff>23812</xdr:colOff>
      <xdr:row>41</xdr:row>
      <xdr:rowOff>0</xdr:rowOff>
    </xdr:to>
    <xdr:cxnSp macro="">
      <xdr:nvCxnSpPr>
        <xdr:cNvPr id="317" name="Straight Connector 316">
          <a:extLst>
            <a:ext uri="{FF2B5EF4-FFF2-40B4-BE49-F238E27FC236}">
              <a16:creationId xmlns:a16="http://schemas.microsoft.com/office/drawing/2014/main" id="{A1391896-941F-42B3-9972-502750844B8E}"/>
            </a:ext>
          </a:extLst>
        </xdr:cNvPr>
        <xdr:cNvCxnSpPr/>
      </xdr:nvCxnSpPr>
      <xdr:spPr>
        <a:xfrm flipH="1">
          <a:off x="4345782" y="5988844"/>
          <a:ext cx="178593" cy="40481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214312</xdr:colOff>
      <xdr:row>38</xdr:row>
      <xdr:rowOff>35718</xdr:rowOff>
    </xdr:from>
    <xdr:to>
      <xdr:col>13</xdr:col>
      <xdr:colOff>47625</xdr:colOff>
      <xdr:row>40</xdr:row>
      <xdr:rowOff>35718</xdr:rowOff>
    </xdr:to>
    <xdr:cxnSp macro="">
      <xdr:nvCxnSpPr>
        <xdr:cNvPr id="319" name="Straight Connector 318">
          <a:extLst>
            <a:ext uri="{FF2B5EF4-FFF2-40B4-BE49-F238E27FC236}">
              <a16:creationId xmlns:a16="http://schemas.microsoft.com/office/drawing/2014/main" id="{59D7612B-17AD-406E-8569-F826D4FA67F5}"/>
            </a:ext>
          </a:extLst>
        </xdr:cNvPr>
        <xdr:cNvCxnSpPr/>
      </xdr:nvCxnSpPr>
      <xdr:spPr>
        <a:xfrm>
          <a:off x="4333875" y="5965031"/>
          <a:ext cx="214313" cy="30956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26</xdr:row>
      <xdr:rowOff>0</xdr:rowOff>
    </xdr:from>
    <xdr:to>
      <xdr:col>16</xdr:col>
      <xdr:colOff>314113</xdr:colOff>
      <xdr:row>31</xdr:row>
      <xdr:rowOff>0</xdr:rowOff>
    </xdr:to>
    <xdr:sp macro="" textlink="">
      <xdr:nvSpPr>
        <xdr:cNvPr id="321" name="TextBox 157">
          <a:extLst>
            <a:ext uri="{FF2B5EF4-FFF2-40B4-BE49-F238E27FC236}">
              <a16:creationId xmlns:a16="http://schemas.microsoft.com/office/drawing/2014/main" id="{9C0CC75A-BC58-4F5F-A35E-E4AEBACB0088}"/>
            </a:ext>
          </a:extLst>
        </xdr:cNvPr>
        <xdr:cNvSpPr txBox="1"/>
      </xdr:nvSpPr>
      <xdr:spPr>
        <a:xfrm>
          <a:off x="4691063" y="4060031"/>
          <a:ext cx="1266613" cy="7620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K2-629N/102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DC-C1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CJ5</a:t>
          </a:r>
        </a:p>
        <a:p>
          <a:pPr algn="ctr"/>
          <a:r>
            <a:rPr lang="en-US" sz="800" u="non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CJ6-T</a:t>
          </a:r>
        </a:p>
        <a:p>
          <a:pPr algn="ctr"/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 u="non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321469</xdr:colOff>
      <xdr:row>30</xdr:row>
      <xdr:rowOff>11906</xdr:rowOff>
    </xdr:from>
    <xdr:to>
      <xdr:col>12</xdr:col>
      <xdr:colOff>64082</xdr:colOff>
      <xdr:row>34</xdr:row>
      <xdr:rowOff>0</xdr:rowOff>
    </xdr:to>
    <xdr:sp macro="" textlink="">
      <xdr:nvSpPr>
        <xdr:cNvPr id="322" name="TextBox 157">
          <a:extLst>
            <a:ext uri="{FF2B5EF4-FFF2-40B4-BE49-F238E27FC236}">
              <a16:creationId xmlns:a16="http://schemas.microsoft.com/office/drawing/2014/main" id="{C290AAD0-C7E9-4F37-AF8B-671E1E44B3EC}"/>
            </a:ext>
          </a:extLst>
        </xdr:cNvPr>
        <xdr:cNvSpPr txBox="1"/>
      </xdr:nvSpPr>
      <xdr:spPr>
        <a:xfrm>
          <a:off x="2917032" y="4679156"/>
          <a:ext cx="1266613" cy="60721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K2-629N/103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DC-C1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CJ5</a:t>
          </a:r>
        </a:p>
        <a:p>
          <a:pPr algn="ctr"/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 u="non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238125</xdr:colOff>
      <xdr:row>34</xdr:row>
      <xdr:rowOff>142875</xdr:rowOff>
    </xdr:from>
    <xdr:to>
      <xdr:col>16</xdr:col>
      <xdr:colOff>361738</xdr:colOff>
      <xdr:row>38</xdr:row>
      <xdr:rowOff>107156</xdr:rowOff>
    </xdr:to>
    <xdr:sp macro="" textlink="">
      <xdr:nvSpPr>
        <xdr:cNvPr id="323" name="TextBox 157">
          <a:extLst>
            <a:ext uri="{FF2B5EF4-FFF2-40B4-BE49-F238E27FC236}">
              <a16:creationId xmlns:a16="http://schemas.microsoft.com/office/drawing/2014/main" id="{069A6C8E-B539-4557-B481-1172A2DF192D}"/>
            </a:ext>
          </a:extLst>
        </xdr:cNvPr>
        <xdr:cNvSpPr txBox="1"/>
      </xdr:nvSpPr>
      <xdr:spPr>
        <a:xfrm>
          <a:off x="4738688" y="5429250"/>
          <a:ext cx="1266613" cy="60721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K2-629N/104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DC-C1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CJ5</a:t>
          </a:r>
        </a:p>
        <a:p>
          <a:pPr algn="ctr"/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 u="non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357187</xdr:colOff>
      <xdr:row>39</xdr:row>
      <xdr:rowOff>119062</xdr:rowOff>
    </xdr:from>
    <xdr:to>
      <xdr:col>12</xdr:col>
      <xdr:colOff>99800</xdr:colOff>
      <xdr:row>43</xdr:row>
      <xdr:rowOff>107156</xdr:rowOff>
    </xdr:to>
    <xdr:sp macro="" textlink="">
      <xdr:nvSpPr>
        <xdr:cNvPr id="324" name="TextBox 157">
          <a:extLst>
            <a:ext uri="{FF2B5EF4-FFF2-40B4-BE49-F238E27FC236}">
              <a16:creationId xmlns:a16="http://schemas.microsoft.com/office/drawing/2014/main" id="{D687BA6C-2FD2-4551-A65C-56FE8597AC34}"/>
            </a:ext>
          </a:extLst>
        </xdr:cNvPr>
        <xdr:cNvSpPr txBox="1"/>
      </xdr:nvSpPr>
      <xdr:spPr>
        <a:xfrm>
          <a:off x="2952750" y="6203156"/>
          <a:ext cx="1266613" cy="60721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K2-629N/105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DC-C1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CJ6</a:t>
          </a:r>
        </a:p>
        <a:p>
          <a:pPr algn="ctr"/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CJ6-T</a:t>
          </a:r>
          <a:endParaRPr lang="en-ID" sz="800" u="non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345282</xdr:colOff>
      <xdr:row>39</xdr:row>
      <xdr:rowOff>59531</xdr:rowOff>
    </xdr:from>
    <xdr:to>
      <xdr:col>17</xdr:col>
      <xdr:colOff>33624</xdr:colOff>
      <xdr:row>45</xdr:row>
      <xdr:rowOff>16360</xdr:rowOff>
    </xdr:to>
    <xdr:sp macro="" textlink="">
      <xdr:nvSpPr>
        <xdr:cNvPr id="325" name="Rectangle 1">
          <a:extLst>
            <a:ext uri="{FF2B5EF4-FFF2-40B4-BE49-F238E27FC236}">
              <a16:creationId xmlns:a16="http://schemas.microsoft.com/office/drawing/2014/main" id="{0B9777B2-EBA8-4D24-BBF7-F180182DF6F5}"/>
            </a:ext>
          </a:extLst>
        </xdr:cNvPr>
        <xdr:cNvSpPr/>
      </xdr:nvSpPr>
      <xdr:spPr>
        <a:xfrm rot="16200000">
          <a:off x="5199758" y="6170712"/>
          <a:ext cx="885516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357187</xdr:colOff>
      <xdr:row>41</xdr:row>
      <xdr:rowOff>35719</xdr:rowOff>
    </xdr:from>
    <xdr:to>
      <xdr:col>15</xdr:col>
      <xdr:colOff>119061</xdr:colOff>
      <xdr:row>42</xdr:row>
      <xdr:rowOff>35718</xdr:rowOff>
    </xdr:to>
    <xdr:sp macro="" textlink="">
      <xdr:nvSpPr>
        <xdr:cNvPr id="326" name="Rectangle 325">
          <a:extLst>
            <a:ext uri="{FF2B5EF4-FFF2-40B4-BE49-F238E27FC236}">
              <a16:creationId xmlns:a16="http://schemas.microsoft.com/office/drawing/2014/main" id="{D5399B44-065C-42C6-BEDD-FA935A27B6B9}"/>
            </a:ext>
          </a:extLst>
        </xdr:cNvPr>
        <xdr:cNvSpPr/>
      </xdr:nvSpPr>
      <xdr:spPr>
        <a:xfrm>
          <a:off x="5238750" y="6429375"/>
          <a:ext cx="142874" cy="154781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13</xdr:col>
      <xdr:colOff>83344</xdr:colOff>
      <xdr:row>41</xdr:row>
      <xdr:rowOff>59531</xdr:rowOff>
    </xdr:from>
    <xdr:to>
      <xdr:col>14</xdr:col>
      <xdr:colOff>357187</xdr:colOff>
      <xdr:row>41</xdr:row>
      <xdr:rowOff>113110</xdr:rowOff>
    </xdr:to>
    <xdr:cxnSp macro="">
      <xdr:nvCxnSpPr>
        <xdr:cNvPr id="327" name="Straight Connector 326">
          <a:extLst>
            <a:ext uri="{FF2B5EF4-FFF2-40B4-BE49-F238E27FC236}">
              <a16:creationId xmlns:a16="http://schemas.microsoft.com/office/drawing/2014/main" id="{17C0DEA8-C964-4D6F-B0CE-5E904F341267}"/>
            </a:ext>
          </a:extLst>
        </xdr:cNvPr>
        <xdr:cNvCxnSpPr>
          <a:endCxn id="326" idx="1"/>
        </xdr:cNvCxnSpPr>
      </xdr:nvCxnSpPr>
      <xdr:spPr>
        <a:xfrm>
          <a:off x="4583907" y="6453187"/>
          <a:ext cx="654843" cy="5357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357187</xdr:colOff>
      <xdr:row>41</xdr:row>
      <xdr:rowOff>47624</xdr:rowOff>
    </xdr:from>
    <xdr:to>
      <xdr:col>14</xdr:col>
      <xdr:colOff>115322</xdr:colOff>
      <xdr:row>41</xdr:row>
      <xdr:rowOff>116763</xdr:rowOff>
    </xdr:to>
    <xdr:grpSp>
      <xdr:nvGrpSpPr>
        <xdr:cNvPr id="329" name="Grup 234">
          <a:extLst>
            <a:ext uri="{FF2B5EF4-FFF2-40B4-BE49-F238E27FC236}">
              <a16:creationId xmlns:a16="http://schemas.microsoft.com/office/drawing/2014/main" id="{0EC97FEC-9376-431E-A057-B55E074A379D}"/>
            </a:ext>
          </a:extLst>
        </xdr:cNvPr>
        <xdr:cNvGrpSpPr/>
      </xdr:nvGrpSpPr>
      <xdr:grpSpPr>
        <a:xfrm>
          <a:off x="4857750" y="6441280"/>
          <a:ext cx="139135" cy="69139"/>
          <a:chOff x="13302191" y="2320613"/>
          <a:chExt cx="139135" cy="57233"/>
        </a:xfrm>
      </xdr:grpSpPr>
      <xdr:cxnSp macro="">
        <xdr:nvCxnSpPr>
          <xdr:cNvPr id="330" name="Straight Connector 329">
            <a:extLst>
              <a:ext uri="{FF2B5EF4-FFF2-40B4-BE49-F238E27FC236}">
                <a16:creationId xmlns:a16="http://schemas.microsoft.com/office/drawing/2014/main" id="{A21D4560-E942-02C6-6B08-E651B3A76EB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1" name="Straight Connector 330">
            <a:extLst>
              <a:ext uri="{FF2B5EF4-FFF2-40B4-BE49-F238E27FC236}">
                <a16:creationId xmlns:a16="http://schemas.microsoft.com/office/drawing/2014/main" id="{495FC182-CD83-0DC8-D7B3-31219D35DD0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2" name="Straight Connector 331">
            <a:extLst>
              <a:ext uri="{FF2B5EF4-FFF2-40B4-BE49-F238E27FC236}">
                <a16:creationId xmlns:a16="http://schemas.microsoft.com/office/drawing/2014/main" id="{7B975F2F-CB2C-372F-9730-444F5E7B0DA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3" name="Straight Connector 332">
            <a:extLst>
              <a:ext uri="{FF2B5EF4-FFF2-40B4-BE49-F238E27FC236}">
                <a16:creationId xmlns:a16="http://schemas.microsoft.com/office/drawing/2014/main" id="{CEEA3D9E-9991-4362-7775-9D1350328BF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166687</xdr:colOff>
      <xdr:row>21</xdr:row>
      <xdr:rowOff>130969</xdr:rowOff>
    </xdr:from>
    <xdr:to>
      <xdr:col>18</xdr:col>
      <xdr:colOff>290300</xdr:colOff>
      <xdr:row>23</xdr:row>
      <xdr:rowOff>107156</xdr:rowOff>
    </xdr:to>
    <xdr:sp macro="" textlink="">
      <xdr:nvSpPr>
        <xdr:cNvPr id="2" name="TextBox 157">
          <a:extLst>
            <a:ext uri="{FF2B5EF4-FFF2-40B4-BE49-F238E27FC236}">
              <a16:creationId xmlns:a16="http://schemas.microsoft.com/office/drawing/2014/main" id="{2E924054-5461-4C6D-92E6-BB7F58733F3C}"/>
            </a:ext>
          </a:extLst>
        </xdr:cNvPr>
        <xdr:cNvSpPr txBox="1"/>
      </xdr:nvSpPr>
      <xdr:spPr>
        <a:xfrm>
          <a:off x="5429250" y="3417094"/>
          <a:ext cx="1266613" cy="2857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3P 23KVA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154782</xdr:colOff>
      <xdr:row>21</xdr:row>
      <xdr:rowOff>83344</xdr:rowOff>
    </xdr:from>
    <xdr:to>
      <xdr:col>17</xdr:col>
      <xdr:colOff>369095</xdr:colOff>
      <xdr:row>23</xdr:row>
      <xdr:rowOff>95249</xdr:rowOff>
    </xdr:to>
    <xdr:cxnSp macro="">
      <xdr:nvCxnSpPr>
        <xdr:cNvPr id="190" name="Straight Connector 189">
          <a:extLst>
            <a:ext uri="{FF2B5EF4-FFF2-40B4-BE49-F238E27FC236}">
              <a16:creationId xmlns:a16="http://schemas.microsoft.com/office/drawing/2014/main" id="{9A878C9F-A50B-436E-AC15-24C541356BD5}"/>
            </a:ext>
          </a:extLst>
        </xdr:cNvPr>
        <xdr:cNvCxnSpPr/>
      </xdr:nvCxnSpPr>
      <xdr:spPr>
        <a:xfrm flipH="1">
          <a:off x="5798345" y="3369469"/>
          <a:ext cx="595313" cy="32146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142875</xdr:colOff>
      <xdr:row>21</xdr:row>
      <xdr:rowOff>23812</xdr:rowOff>
    </xdr:from>
    <xdr:to>
      <xdr:col>17</xdr:col>
      <xdr:colOff>333374</xdr:colOff>
      <xdr:row>23</xdr:row>
      <xdr:rowOff>71436</xdr:rowOff>
    </xdr:to>
    <xdr:cxnSp macro="">
      <xdr:nvCxnSpPr>
        <xdr:cNvPr id="192" name="Straight Connector 191">
          <a:extLst>
            <a:ext uri="{FF2B5EF4-FFF2-40B4-BE49-F238E27FC236}">
              <a16:creationId xmlns:a16="http://schemas.microsoft.com/office/drawing/2014/main" id="{3B2CAF82-F18E-4B02-973D-8AF2C5D4181C}"/>
            </a:ext>
          </a:extLst>
        </xdr:cNvPr>
        <xdr:cNvCxnSpPr/>
      </xdr:nvCxnSpPr>
      <xdr:spPr>
        <a:xfrm>
          <a:off x="5786438" y="3309937"/>
          <a:ext cx="571499" cy="35718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57463</xdr:colOff>
      <xdr:row>18</xdr:row>
      <xdr:rowOff>121132</xdr:rowOff>
    </xdr:from>
    <xdr:to>
      <xdr:col>12</xdr:col>
      <xdr:colOff>247698</xdr:colOff>
      <xdr:row>23</xdr:row>
      <xdr:rowOff>128635</xdr:rowOff>
    </xdr:to>
    <xdr:sp macro="" textlink="">
      <xdr:nvSpPr>
        <xdr:cNvPr id="193" name="TextBox 160">
          <a:extLst>
            <a:ext uri="{FF2B5EF4-FFF2-40B4-BE49-F238E27FC236}">
              <a16:creationId xmlns:a16="http://schemas.microsoft.com/office/drawing/2014/main" id="{F2611A58-27C1-4277-8884-5984615E3BAB}"/>
            </a:ext>
          </a:extLst>
        </xdr:cNvPr>
        <xdr:cNvSpPr txBox="1"/>
      </xdr:nvSpPr>
      <xdr:spPr>
        <a:xfrm rot="16200000">
          <a:off x="3881439" y="3238500"/>
          <a:ext cx="781410" cy="190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60M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6</xdr:row>
      <xdr:rowOff>0</xdr:rowOff>
    </xdr:from>
    <xdr:to>
      <xdr:col>27</xdr:col>
      <xdr:colOff>0</xdr:colOff>
      <xdr:row>52</xdr:row>
      <xdr:rowOff>40532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66EE7C-1D99-FE10-CAD0-094784060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032" y="972766"/>
          <a:ext cx="14125372" cy="749840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4</xdr:col>
      <xdr:colOff>0</xdr:colOff>
      <xdr:row>8</xdr:row>
      <xdr:rowOff>-1</xdr:rowOff>
    </xdr:from>
    <xdr:to>
      <xdr:col>25</xdr:col>
      <xdr:colOff>465175</xdr:colOff>
      <xdr:row>57</xdr:row>
      <xdr:rowOff>-1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E9D16F-1DCD-2AE8-15A1-66ECA0F70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558" y="1218313"/>
          <a:ext cx="13423605" cy="759784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1" t="s">
        <v>1133</v>
      </c>
      <c r="C4" s="531"/>
      <c r="D4" s="531"/>
      <c r="E4" s="531"/>
      <c r="F4" s="531"/>
      <c r="G4" s="531"/>
      <c r="H4" s="53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2" t="s">
        <v>0</v>
      </c>
      <c r="C7" s="532" t="s">
        <v>1</v>
      </c>
      <c r="D7" s="533" t="s">
        <v>42</v>
      </c>
      <c r="E7" s="533" t="s">
        <v>43</v>
      </c>
      <c r="F7" s="533" t="s">
        <v>1134</v>
      </c>
      <c r="G7" s="534" t="s">
        <v>41</v>
      </c>
      <c r="H7" s="530" t="s">
        <v>1042</v>
      </c>
      <c r="I7" s="530" t="s">
        <v>1136</v>
      </c>
      <c r="J7" s="530" t="s">
        <v>1026</v>
      </c>
      <c r="K7" s="524" t="s">
        <v>1024</v>
      </c>
      <c r="L7" s="525"/>
    </row>
    <row r="8" spans="1:12" ht="15" customHeight="1">
      <c r="B8" s="532"/>
      <c r="C8" s="532"/>
      <c r="D8" s="533"/>
      <c r="E8" s="533"/>
      <c r="F8" s="533"/>
      <c r="G8" s="534"/>
      <c r="H8" s="530"/>
      <c r="I8" s="530"/>
      <c r="J8" s="530"/>
      <c r="K8" s="526"/>
      <c r="L8" s="527"/>
    </row>
    <row r="9" spans="1:12" ht="15" customHeight="1">
      <c r="B9" s="532"/>
      <c r="C9" s="532"/>
      <c r="D9" s="533"/>
      <c r="E9" s="533"/>
      <c r="F9" s="533"/>
      <c r="G9" s="534"/>
      <c r="H9" s="530"/>
      <c r="I9" s="530"/>
      <c r="J9" s="530"/>
      <c r="K9" s="528"/>
      <c r="L9" s="52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66 kVA MCCB 100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9</v>
      </c>
      <c r="G17" s="41">
        <f ca="1">IF(ISERROR(OFFSET('HARGA SATUAN'!$I$6,MATCH(C17,'HARGA SATUAN'!$C$7:$C$1495,0),0)),"",OFFSET('HARGA SATUAN'!$I$6,MATCH(C17,'HARGA SATUAN'!$C$7:$C$1495,0),0))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140</v>
      </c>
      <c r="G18" s="41">
        <f ca="1">IF(ISERROR(OFFSET('HARGA SATUAN'!$I$6,MATCH(C18,'HARGA SATUAN'!$C$7:$C$1495,0),0)),"",OFFSET('HARGA SATUAN'!$I$6,MATCH(C18,'HARGA SATUAN'!$C$7:$C$1495,0),0))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SATUAN'!$C$7:$C$1495,0),0)),"",OFFSET('HARGA SATUAN'!$D$6,MATCH(C19,'HARGA SATUAN'!$C$7:$C$1495,0),0))</f>
        <v>HDW</v>
      </c>
      <c r="E19" s="101" t="str">
        <f ca="1">IF(B19="+","Unit",IF(ISERROR(OFFSET('HARGA SATUAN'!$E$6,MATCH(C19,'HARGA SATUAN'!$C$7:$C$1495,0),0)),"",OFFSET('HARGA SATUAN'!$E$6,MATCH(C19,'HARGA SATUAN'!$C$7:$C$1495,0),0)))</f>
        <v>Unit</v>
      </c>
      <c r="F19" s="138">
        <f t="shared" ca="1" si="2"/>
        <v>1</v>
      </c>
      <c r="G19" s="41">
        <f ca="1">IF(ISERROR(OFFSET('HARGA SATUAN'!$I$6,MATCH(C19,'HARGA SATUAN'!$C$7:$C$1495,0),0)),"",OFFSET('HARGA SATUAN'!$I$6,MATCH(C19,'HARGA SATUAN'!$C$7:$C$1495,0),0))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SUMIFS(RAB!$F$14:$F$104,RAB!$C$14:$C$104,C714)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SUMIFS(RAB!$F$14:$F$104,RAB!$C$14:$C$104,C715)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SUMIFS(RAB!$F$14:$F$104,RAB!$C$14:$C$104,C716)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SUMIFS(RAB!$F$14:$F$104,RAB!$C$14:$C$104,C717)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SUMIFS(RAB!$F$14:$F$104,RAB!$C$14:$C$104,C718)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SUMIFS(RAB!$F$14:$F$104,RAB!$C$14:$C$104,C719)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SUMIFS(RAB!$F$14:$F$104,RAB!$C$14:$C$104,C720)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SUMIFS(RAB!$F$14:$F$104,RAB!$C$14:$C$104,C721)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SUMIFS(RAB!$F$14:$F$104,RAB!$C$14:$C$104,C722)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SUMIFS(RAB!$F$14:$F$104,RAB!$C$14:$C$104,C723)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SUMIFS(RAB!$F$14:$F$104,RAB!$C$14:$C$104,C724)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SUMIFS(RAB!$F$14:$F$104,RAB!$C$14:$C$104,C725)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SUMIFS(RAB!$F$14:$F$104,RAB!$C$14:$C$104,C726)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SUMIFS(RAB!$F$14:$F$104,RAB!$C$14:$C$104,C727)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SUMIFS(RAB!$F$14:$F$104,RAB!$C$14:$C$104,C728)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SUMIFS(RAB!$F$14:$F$104,RAB!$C$14:$C$104,C729)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SUMIFS(RAB!$F$14:$F$104,RAB!$C$14:$C$104,C730)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SUMIFS(RAB!$F$14:$F$104,RAB!$C$14:$C$104,C731)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SUMIFS(RAB!$F$14:$F$104,RAB!$C$14:$C$104,C732)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SUMIFS(RAB!$F$14:$F$104,RAB!$C$14:$C$104,C733)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SUMIFS(RAB!$F$14:$F$104,RAB!$C$14:$C$104,C734)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SUMIFS(RAB!$F$14:$F$104,RAB!$C$14:$C$104,C735)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SUMIFS(RAB!$F$14:$F$104,RAB!$C$14:$C$104,C736)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SUMIFS(RAB!$F$14:$F$104,RAB!$C$14:$C$104,C737)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SUMIFS(RAB!$F$14:$F$104,RAB!$C$14:$C$104,C738)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SUMIFS(RAB!$F$14:$F$104,RAB!$C$14:$C$104,C739)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SUMIFS(RAB!$F$14:$F$104,RAB!$C$14:$C$104,C740)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SUMIFS(RAB!$F$14:$F$104,RAB!$C$14:$C$104,C741)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SUMIFS(RAB!$F$14:$F$104,RAB!$C$14:$C$104,C742)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SUMIFS(RAB!$F$14:$F$104,RAB!$C$14:$C$104,C743)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SUMIFS(RAB!$F$14:$F$104,RAB!$C$14:$C$104,C744)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SUMIFS(RAB!$F$14:$F$104,RAB!$C$14:$C$104,C745)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SUMIFS(RAB!$F$14:$F$104,RAB!$C$14:$C$104,C746)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SUMIFS(RAB!$F$14:$F$104,RAB!$C$14:$C$104,C747)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SUMIFS(RAB!$F$14:$F$104,RAB!$C$14:$C$104,C748)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SUMIFS(RAB!$F$14:$F$104,RAB!$C$14:$C$104,C749)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SUMIFS(RAB!$F$14:$F$104,RAB!$C$14:$C$104,C750)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SUMIFS(RAB!$F$14:$F$104,RAB!$C$14:$C$104,C751)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SUMIFS(RAB!$F$14:$F$104,RAB!$C$14:$C$104,C752)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SUMIFS(RAB!$F$14:$F$104,RAB!$C$14:$C$104,C753)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SUMIFS(RAB!$F$14:$F$104,RAB!$C$14:$C$104,C754)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SUMIFS(RAB!$F$14:$F$104,RAB!$C$14:$C$104,C755)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SUMIFS(RAB!$F$14:$F$104,RAB!$C$14:$C$104,C756)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SUMIFS(RAB!$F$14:$F$104,RAB!$C$14:$C$104,C757)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SUMIFS(RAB!$F$14:$F$104,RAB!$C$14:$C$104,C758)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SUMIFS(RAB!$F$14:$F$104,RAB!$C$14:$C$104,C759)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SUMIFS(RAB!$F$14:$F$104,RAB!$C$14:$C$104,C760)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SUMIFS(RAB!$F$14:$F$104,RAB!$C$14:$C$104,C761)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SUMIFS(RAB!$F$14:$F$104,RAB!$C$14:$C$104,C762)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SUMIFS(RAB!$F$14:$F$104,RAB!$C$14:$C$104,C763)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SUMIFS(RAB!$F$14:$F$104,RAB!$C$14:$C$104,C764)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SUMIFS(RAB!$F$14:$F$104,RAB!$C$14:$C$104,C765)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SUMIFS(RAB!$F$14:$F$104,RAB!$C$14:$C$104,C766)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SUMIFS(RAB!$F$14:$F$104,RAB!$C$14:$C$104,C767)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SUMIFS(RAB!$F$14:$F$104,RAB!$C$14:$C$104,C768)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SUMIFS(RAB!$F$14:$F$104,RAB!$C$14:$C$104,C769)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SUMIFS(RAB!$F$14:$F$104,RAB!$C$14:$C$104,C770)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SUMIFS(RAB!$F$14:$F$104,RAB!$C$14:$C$104,C771)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SUMIFS(RAB!$F$14:$F$104,RAB!$C$14:$C$104,C772)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SUMIFS(RAB!$F$14:$F$104,RAB!$C$14:$C$104,C773)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SUMIFS(RAB!$F$14:$F$104,RAB!$C$14:$C$104,C774)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SUMIFS(RAB!$F$14:$F$104,RAB!$C$14:$C$104,C775)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SUMIFS(RAB!$F$14:$F$104,RAB!$C$14:$C$104,C776)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SUMIFS(RAB!$F$14:$F$104,RAB!$C$14:$C$104,C777)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SUMIFS(RAB!$F$14:$F$104,RAB!$C$14:$C$104,C778)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SUMIFS(RAB!$F$14:$F$104,RAB!$C$14:$C$104,C779)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SUMIFS(RAB!$F$14:$F$104,RAB!$C$14:$C$104,C780)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SUMIFS(RAB!$F$14:$F$104,RAB!$C$14:$C$104,C781)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SUMIFS(RAB!$F$14:$F$104,RAB!$C$14:$C$104,C782)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SUMIFS(RAB!$F$14:$F$104,RAB!$C$14:$C$104,C783)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SUMIFS(RAB!$F$14:$F$104,RAB!$C$14:$C$104,C784)</f>
        <v>1</v>
      </c>
      <c r="E784" s="26">
        <f t="shared" ca="1" si="34"/>
        <v>1</v>
      </c>
      <c r="F784" s="26">
        <f ca="1">IF(D784=0,0,SUM($E$713:E784))</f>
        <v>2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SUMIFS(RAB!$F$14:$F$104,RAB!$C$14:$C$104,C785)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SUMIFS(RAB!$F$14:$F$104,RAB!$C$14:$C$104,C786)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SUMIFS(RAB!$F$14:$F$104,RAB!$C$14:$C$104,C787)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SUMIFS(RAB!$F$14:$F$104,RAB!$C$14:$C$104,C788)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SUMIFS(RAB!$F$14:$F$104,RAB!$C$14:$C$104,C789)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SUMIFS(RAB!$F$14:$F$104,RAB!$C$14:$C$104,C790)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SUMIFS(RAB!$F$14:$F$104,RAB!$C$14:$C$104,C791)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SUMIFS(RAB!$F$14:$F$104,RAB!$C$14:$C$104,C792)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SUMIFS(RAB!$F$14:$F$104,RAB!$C$14:$C$104,C793)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SUMIFS(RAB!$F$14:$F$104,RAB!$C$14:$C$104,C794)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SUMIFS(RAB!$F$14:$F$104,RAB!$C$14:$C$104,C795)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SUMIFS(RAB!$F$14:$F$104,RAB!$C$14:$C$104,C796)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SUMIFS(RAB!$F$14:$F$104,RAB!$C$14:$C$104,C797)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SUMIFS(RAB!$F$14:$F$104,RAB!$C$14:$C$104,C798)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SUMIFS(RAB!$F$14:$F$104,RAB!$C$14:$C$104,C799)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SUMIFS(RAB!$F$14:$F$104,RAB!$C$14:$C$104,C800)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SUMIFS(RAB!$F$14:$F$104,RAB!$C$14:$C$104,C801)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SUMIFS(RAB!$F$14:$F$104,RAB!$C$14:$C$104,C802)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SUMIFS(RAB!$F$14:$F$104,RAB!$C$14:$C$104,C803)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SUMIFS(RAB!$F$14:$F$104,RAB!$C$14:$C$104,C804)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SUMIFS(RAB!$F$14:$F$104,RAB!$C$14:$C$104,C805)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SUMIFS(RAB!$F$14:$F$104,RAB!$C$14:$C$104,C806)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SUMIFS(RAB!$F$14:$F$104,RAB!$C$14:$C$104,C807)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SUMIFS(RAB!$F$14:$F$104,RAB!$C$14:$C$104,C808)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SUMIFS(RAB!$F$14:$F$104,RAB!$C$14:$C$104,C809)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SUMIFS(RAB!$F$14:$F$104,RAB!$C$14:$C$104,C810)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SUMIFS(RAB!$F$14:$F$104,RAB!$C$14:$C$104,C811)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SUMIFS(RAB!$F$14:$F$104,RAB!$C$14:$C$104,C812)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SUMIFS(RAB!$F$14:$F$104,RAB!$C$14:$C$104,C813)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SUMIFS(RAB!$F$14:$F$104,RAB!$C$14:$C$104,C814)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SUMIFS(RAB!$F$14:$F$104,RAB!$C$14:$C$104,C815)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SUMIFS(RAB!$F$14:$F$104,RAB!$C$14:$C$104,C816)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SUMIFS(RAB!$F$14:$F$104,RAB!$C$14:$C$104,C817)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SUMIFS(RAB!$F$14:$F$104,RAB!$C$14:$C$104,C818)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SUMIFS(RAB!$F$14:$F$104,RAB!$C$14:$C$104,C819)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SUMIFS(RAB!$F$14:$F$104,RAB!$C$14:$C$104,C820)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SUMIFS(RAB!$F$14:$F$104,RAB!$C$14:$C$104,C821)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SUMIFS(RAB!$F$14:$F$104,RAB!$C$14:$C$104,C822)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SUMIFS(RAB!$F$14:$F$104,RAB!$C$14:$C$104,C823)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SUMIFS(RAB!$F$14:$F$104,RAB!$C$14:$C$104,C824)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SUMIFS(RAB!$F$14:$F$104,RAB!$C$14:$C$104,C825)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SUMIFS(RAB!$F$14:$F$104,RAB!$C$14:$C$104,C826)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SUMIFS(RAB!$F$14:$F$104,RAB!$C$14:$C$104,C827)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SUMIFS(RAB!$F$14:$F$104,RAB!$C$14:$C$104,C828)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SUMIFS(RAB!$F$14:$F$104,RAB!$C$14:$C$104,C829)</f>
        <v>9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SUMIFS(RAB!$F$14:$F$104,RAB!$C$14:$C$104,C830)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SUMIFS(RAB!$F$14:$F$104,RAB!$C$14:$C$104,C831)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SUMIFS(RAB!$F$14:$F$104,RAB!$C$14:$C$104,C832)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SUMIFS(RAB!$F$14:$F$104,RAB!$C$14:$C$104,C833)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SUMIFS(RAB!$F$14:$F$104,RAB!$C$14:$C$104,C834)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SUMIFS(RAB!$F$14:$F$104,RAB!$C$14:$C$104,C835)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SUMIFS(RAB!$F$14:$F$104,RAB!$C$14:$C$104,C836)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SUMIFS(RAB!$F$14:$F$104,RAB!$C$14:$C$104,C837)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SUMIFS(RAB!$F$14:$F$104,RAB!$C$14:$C$104,C838)</f>
        <v>140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SUMIFS(RAB!$F$14:$F$104,RAB!$C$14:$C$104,C839)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SUMIFS(RAB!$F$14:$F$104,RAB!$C$14:$C$104,C840)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SUMIFS(RAB!$F$14:$F$104,RAB!$C$14:$C$104,C841)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SUMIFS(RAB!$F$14:$F$104,RAB!$C$14:$C$104,C842)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SUMIFS(RAB!$F$14:$F$104,RAB!$C$14:$C$104,C843)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SUMIFS(RAB!$F$14:$F$104,RAB!$C$14:$C$104,C844)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SUMIFS(RAB!$F$14:$F$104,RAB!$C$14:$C$104,C845)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SUMIFS(RAB!$F$14:$F$104,RAB!$C$14:$C$104,C846)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SUMIFS(RAB!$F$14:$F$104,RAB!$C$14:$C$104,C847)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SUMIFS(RAB!$F$14:$F$104,RAB!$C$14:$C$104,C848)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SUMIFS(RAB!$F$14:$F$104,RAB!$C$14:$C$104,C849)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SUMIFS(RAB!$F$14:$F$104,RAB!$C$14:$C$104,C850)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SUMIFS(RAB!$F$14:$F$104,RAB!$C$14:$C$104,C851)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SUMIFS(RAB!$F$14:$F$104,RAB!$C$14:$C$104,C852)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SUMIFS(RAB!$F$14:$F$104,RAB!$C$14:$C$104,C853)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SUMIFS(RAB!$F$14:$F$104,RAB!$C$14:$C$104,C854)</f>
        <v>1</v>
      </c>
      <c r="E854" s="26">
        <f t="shared" ca="1" si="35"/>
        <v>1</v>
      </c>
      <c r="F854" s="26">
        <f ca="1">IF(D854=0,0,SUM($E$713:E854))</f>
        <v>8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SUMIFS(RAB!$F$14:$F$104,RAB!$C$14:$C$104,C855)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SUMIFS(RAB!$F$14:$F$104,RAB!$C$14:$C$104,C856)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SUMIFS(RAB!$F$14:$F$104,RAB!$C$14:$C$104,C857)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SUMIFS(RAB!$F$14:$F$104,RAB!$C$14:$C$104,C858)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SUMIFS(RAB!$F$14:$F$104,RAB!$C$14:$C$104,C859)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SUMIFS(RAB!$F$14:$F$104,RAB!$C$14:$C$104,C860)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SUMIFS(RAB!$F$14:$F$104,RAB!$C$14:$C$104,C861)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SUMIFS(RAB!$F$14:$F$104,RAB!$C$14:$C$104,C862)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SUMIFS(RAB!$F$14:$F$104,RAB!$C$14:$C$104,C863)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SUMIFS(RAB!$F$14:$F$104,RAB!$C$14:$C$104,C864)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SUMIFS(RAB!$F$14:$F$104,RAB!$C$14:$C$104,C865)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SUMIFS(RAB!$F$14:$F$104,RAB!$C$14:$C$104,C866)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SUMIFS(RAB!$F$14:$F$104,RAB!$C$14:$C$104,C867)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SUMIFS(RAB!$F$14:$F$104,RAB!$C$14:$C$104,C868)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SUMIFS(RAB!$F$14:$F$104,RAB!$C$14:$C$104,C869)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SUMIFS(RAB!$F$14:$F$104,RAB!$C$14:$C$104,C870)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SUMIFS(RAB!$F$14:$F$104,RAB!$C$14:$C$104,C871)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SUMIFS(RAB!$F$14:$F$104,RAB!$C$14:$C$104,C872)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SUMIFS(RAB!$F$14:$F$104,RAB!$C$14:$C$104,C873)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SUMIFS(RAB!$F$14:$F$104,RAB!$C$14:$C$104,C874)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SUMIFS(RAB!$F$14:$F$104,RAB!$C$14:$C$104,C875)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SUMIFS(RAB!$F$14:$F$104,RAB!$C$14:$C$104,C876)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SUMIFS(RAB!$F$14:$F$104,RAB!$C$14:$C$104,C877)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SUMIFS(RAB!$F$14:$F$104,RAB!$C$14:$C$104,C878)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SUMIFS(RAB!$F$14:$F$104,RAB!$C$14:$C$104,C879)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SUMIFS(RAB!$F$14:$F$104,RAB!$C$14:$C$104,C880)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SUMIFS(RAB!$F$14:$F$104,RAB!$C$14:$C$104,C881)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SUMIFS(RAB!$F$14:$F$104,RAB!$C$14:$C$104,C882)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SUMIFS(RAB!$F$14:$F$104,RAB!$C$14:$C$104,C883)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SUMIFS(RAB!$F$14:$F$104,RAB!$C$14:$C$104,C884)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SUMIFS(RAB!$F$14:$F$104,RAB!$C$14:$C$104,C885)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SUMIFS(RAB!$F$14:$F$104,RAB!$C$14:$C$104,C886)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SUMIFS(RAB!$F$14:$F$104,RAB!$C$14:$C$104,C887)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SUMIFS(RAB!$F$14:$F$104,RAB!$C$14:$C$104,C888)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SUMIFS(RAB!$F$14:$F$104,RAB!$C$14:$C$104,C889)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SUMIFS(RAB!$F$14:$F$104,RAB!$C$14:$C$104,C890)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SUMIFS(RAB!$F$14:$F$104,RAB!$C$14:$C$104,C891)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SUMIFS(RAB!$F$14:$F$104,RAB!$C$14:$C$104,C892)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SUMIFS(RAB!$F$14:$F$104,RAB!$C$14:$C$104,C893)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SUMIFS(RAB!$F$14:$F$104,RAB!$C$14:$C$104,C894)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SUMIFS(RAB!$F$14:$F$104,RAB!$C$14:$C$104,C895)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SUMIFS(RAB!$F$14:$F$104,RAB!$C$14:$C$104,C896)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SUMIFS(RAB!$F$14:$F$104,RAB!$C$14:$C$104,C897)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SUMIFS(RAB!$F$14:$F$104,RAB!$C$14:$C$104,C898)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SUMIFS(RAB!$F$14:$F$104,RAB!$C$14:$C$104,C899)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SUMIFS(RAB!$F$14:$F$104,RAB!$C$14:$C$104,C900)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SUMIFS(RAB!$F$14:$F$104,RAB!$C$14:$C$104,C901)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SUMIFS(RAB!$F$14:$F$104,RAB!$C$14:$C$104,C902)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SUMIFS(RAB!$F$14:$F$104,RAB!$C$14:$C$104,C903)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SUMIFS(RAB!$F$14:$F$104,RAB!$C$14:$C$104,C904)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SUMIFS(RAB!$F$14:$F$104,RAB!$C$14:$C$104,C905)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SUMIFS(RAB!$F$14:$F$104,RAB!$C$14:$C$104,C906)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SUMIFS(RAB!$F$14:$F$104,RAB!$C$14:$C$104,C907)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SUMIFS(RAB!$F$14:$F$104,RAB!$C$14:$C$104,C908)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SUMIFS(RAB!$F$14:$F$104,RAB!$C$14:$C$104,C909)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SUMIFS(RAB!$F$14:$F$104,RAB!$C$14:$C$104,C910)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SUMIFS(RAB!$F$14:$F$104,RAB!$C$14:$C$104,C911)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SUMIFS(RAB!$F$14:$F$104,RAB!$C$14:$C$104,C912)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SUMIFS(RAB!$F$14:$F$104,RAB!$C$14:$C$104,C913)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SUMIFS(RAB!$F$14:$F$104,RAB!$C$14:$C$104,C914)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SUMIFS(RAB!$F$14:$F$104,RAB!$C$14:$C$104,C915)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SUMIFS(RAB!$F$14:$F$104,RAB!$C$14:$C$104,C916)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SUMIFS(RAB!$F$14:$F$104,RAB!$C$14:$C$104,C917)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SUMIFS(RAB!$F$14:$F$104,RAB!$C$14:$C$104,C918)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SUMIFS(RAB!$F$14:$F$104,RAB!$C$14:$C$104,C919)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SUMIFS(RAB!$F$14:$F$104,RAB!$C$14:$C$104,C920)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SUMIFS(RAB!$F$14:$F$104,RAB!$C$14:$C$104,C921)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SUMIFS(RAB!$F$14:$F$104,RAB!$C$14:$C$104,C922)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SUMIFS(RAB!$F$14:$F$104,RAB!$C$14:$C$104,C923)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SUMIFS(RAB!$F$14:$F$104,RAB!$C$14:$C$104,C924)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SUMIFS(RAB!$F$14:$F$104,RAB!$C$14:$C$104,C925)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SUMIFS(RAB!$F$14:$F$104,RAB!$C$14:$C$104,C926)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SUMIFS(RAB!$F$14:$F$104,RAB!$C$14:$C$104,C927)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SUMIFS(RAB!$F$14:$F$104,RAB!$C$14:$C$104,C928)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SUMIFS(RAB!$F$14:$F$104,RAB!$C$14:$C$104,C929)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SUMIFS(RAB!$F$14:$F$104,RAB!$C$14:$C$104,C930)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SUMIFS(RAB!$F$14:$F$104,RAB!$C$14:$C$104,C931)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SUMIFS(RAB!$F$14:$F$104,RAB!$C$14:$C$104,C932)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SUMIFS(RAB!$F$14:$F$104,RAB!$C$14:$C$104,C933)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SUMIFS(RAB!$F$14:$F$104,RAB!$C$14:$C$104,C934)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SUMIFS(RAB!$F$14:$F$104,RAB!$C$14:$C$104,C935)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SUMIFS(RAB!$F$14:$F$104,RAB!$C$14:$C$104,C936)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SUMIFS(RAB!$F$14:$F$104,RAB!$C$14:$C$104,C937)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SUMIFS(RAB!$F$14:$F$104,RAB!$C$14:$C$104,C938)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SUMIFS(RAB!$F$14:$F$104,RAB!$C$14:$C$104,C939)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SUMIFS(RAB!$F$14:$F$104,RAB!$C$14:$C$104,C940)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SUMIFS(RAB!$F$14:$F$104,RAB!$C$14:$C$104,C941)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SUMIFS(RAB!$F$14:$F$104,RAB!$C$14:$C$104,C942)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SUMIFS(RAB!$F$14:$F$104,RAB!$C$14:$C$104,C943)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SUMIFS(RAB!$F$14:$F$104,RAB!$C$14:$C$104,C944)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SUMIFS(RAB!$F$14:$F$104,RAB!$C$14:$C$104,C945)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SUMIFS(RAB!$F$14:$F$104,RAB!$C$14:$C$104,C946)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SUMIFS(RAB!$F$14:$F$104,RAB!$C$14:$C$104,C947)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SUMIFS(RAB!$F$14:$F$104,RAB!$C$14:$C$104,C948)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SUMIFS(RAB!$F$14:$F$104,RAB!$C$14:$C$104,C949)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SUMIFS(RAB!$F$14:$F$104,RAB!$C$14:$C$104,C950)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SUMIFS(RAB!$F$14:$F$104,RAB!$C$14:$C$104,C951)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SUMIFS(RAB!$F$14:$F$104,RAB!$C$14:$C$104,C952)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SUMIFS(RAB!$F$14:$F$104,RAB!$C$14:$C$104,C953)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SUMIFS(RAB!$F$14:$F$104,RAB!$C$14:$C$104,C954)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SUMIFS(RAB!$F$14:$F$104,RAB!$C$14:$C$104,C955)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SUMIFS(RAB!$F$14:$F$104,RAB!$C$14:$C$104,C956)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SUMIFS(RAB!$F$14:$F$104,RAB!$C$14:$C$104,C957)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SUMIFS(RAB!$F$14:$F$104,RAB!$C$14:$C$104,C958)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SUMIFS(RAB!$F$14:$F$104,RAB!$C$14:$C$104,C959)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SUMIFS(RAB!$F$14:$F$104,RAB!$C$14:$C$104,C960)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SUMIFS(RAB!$F$14:$F$104,RAB!$C$14:$C$104,C961)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SUMIFS(RAB!$F$14:$F$104,RAB!$C$14:$C$104,C962)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SUMIFS(RAB!$F$14:$F$104,RAB!$C$14:$C$104,C963)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SUMIFS(RAB!$F$14:$F$104,RAB!$C$14:$C$104,C964)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SUMIFS(RAB!$F$14:$F$104,RAB!$C$14:$C$104,C965)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SUMIFS(RAB!$F$14:$F$104,RAB!$C$14:$C$104,C966)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SUMIFS(RAB!$F$14:$F$104,RAB!$C$14:$C$104,C967)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SUMIFS(RAB!$F$14:$F$104,RAB!$C$14:$C$104,C968)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SUMIFS(RAB!$F$14:$F$104,RAB!$C$14:$C$104,C969)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SUMIFS(RAB!$F$14:$F$104,RAB!$C$14:$C$104,C970)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SUMIFS(RAB!$F$14:$F$104,RAB!$C$14:$C$104,C971)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SUMIFS(RAB!$F$14:$F$104,RAB!$C$14:$C$104,C972)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SUMIFS(RAB!$F$14:$F$104,RAB!$C$14:$C$104,C973)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SUMIFS(RAB!$F$14:$F$104,RAB!$C$14:$C$104,C974)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SUMIFS(RAB!$F$14:$F$104,RAB!$C$14:$C$104,C975)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SUMIFS(RAB!$F$14:$F$104,RAB!$C$14:$C$104,C976)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SUMIFS(RAB!$F$14:$F$104,RAB!$C$14:$C$104,C977)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SUMIFS(RAB!$F$14:$F$104,RAB!$C$14:$C$104,C978)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SUMIFS(RAB!$F$14:$F$104,RAB!$C$14:$C$104,C979)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SUMIFS(RAB!$F$14:$F$104,RAB!$C$14:$C$104,C980)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SUMIFS(RAB!$F$14:$F$104,RAB!$C$14:$C$104,C981)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SUMIFS(RAB!$F$14:$F$104,RAB!$C$14:$C$104,C982)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SUMIFS(RAB!$F$14:$F$104,RAB!$C$14:$C$104,C983)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SUMIFS(RAB!$F$14:$F$104,RAB!$C$14:$C$104,C984)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SUMIFS(RAB!$F$14:$F$104,RAB!$C$14:$C$104,C985)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SUMIFS(RAB!$F$14:$F$104,RAB!$C$14:$C$104,C986)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SUMIFS(RAB!$F$14:$F$104,RAB!$C$14:$C$104,C987)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SUMIFS(RAB!$F$14:$F$104,RAB!$C$14:$C$104,C988)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SUMIFS(RAB!$F$14:$F$104,RAB!$C$14:$C$104,C989)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SUMIFS(RAB!$F$14:$F$104,RAB!$C$14:$C$104,C990)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SUMIFS(RAB!$F$14:$F$104,RAB!$C$14:$C$104,C991)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SUMIFS(RAB!$F$14:$F$104,RAB!$C$14:$C$104,C992)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SUMIFS(RAB!$F$14:$F$104,RAB!$C$14:$C$104,C993)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SUMIFS(RAB!$F$14:$F$104,RAB!$C$14:$C$104,C994)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SUMIFS(RAB!$F$14:$F$104,RAB!$C$14:$C$104,C995)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SUMIFS(RAB!$F$14:$F$104,RAB!$C$14:$C$104,C996)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SUMIFS(RAB!$F$14:$F$104,RAB!$C$14:$C$104,C997)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SUMIFS(RAB!$F$14:$F$104,RAB!$C$14:$C$104,C998)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SUMIFS(RAB!$F$14:$F$104,RAB!$C$14:$C$104,C999)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SUMIFS(RAB!$F$14:$F$104,RAB!$C$14:$C$104,C1000)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SUMIFS(RAB!$F$14:$F$104,RAB!$C$14:$C$104,C1001)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SUMIFS(RAB!$F$14:$F$104,RAB!$C$14:$C$104,C1002)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SUMIFS(RAB!$F$14:$F$104,RAB!$C$14:$C$104,C1003)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SUMIFS(RAB!$F$14:$F$104,RAB!$C$14:$C$104,C1004)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SUMIFS(RAB!$F$14:$F$104,RAB!$C$14:$C$104,C1005)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SUMIFS(RAB!$F$14:$F$104,RAB!$C$14:$C$104,C1006)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SUMIFS(RAB!$F$14:$F$104,RAB!$C$14:$C$104,C1007)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SUMIFS(RAB!$F$14:$F$104,RAB!$C$14:$C$104,C1008)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SUMIFS(RAB!$F$14:$F$104,RAB!$C$14:$C$104,C1009)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SUMIFS(RAB!$F$14:$F$104,RAB!$C$14:$C$104,C1010)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SUMIFS(RAB!$F$14:$F$104,RAB!$C$14:$C$104,C1011)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SUMIFS(RAB!$F$14:$F$104,RAB!$C$14:$C$104,C1012)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SUMIFS(RAB!$F$14:$F$104,RAB!$C$14:$C$104,C1013)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SUMIFS(RAB!$F$14:$F$104,RAB!$C$14:$C$104,C1014)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SUMIFS(RAB!$F$14:$F$104,RAB!$C$14:$C$104,C1015)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SUMIFS(RAB!$F$14:$F$104,RAB!$C$14:$C$104,C1016)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SUMIFS(RAB!$F$14:$F$104,RAB!$C$14:$C$104,C1017)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SUMIFS(RAB!$F$14:$F$104,RAB!$C$14:$C$104,C1018)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SUMIFS(RAB!$F$14:$F$104,RAB!$C$14:$C$104,C1019)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SUMIFS(RAB!$F$14:$F$104,RAB!$C$14:$C$104,C1020)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SUMIFS(RAB!$F$14:$F$104,RAB!$C$14:$C$104,C1021)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SUMIFS(RAB!$F$14:$F$104,RAB!$C$14:$C$104,C1022)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SUMIFS(RAB!$F$14:$F$104,RAB!$C$14:$C$104,C1023)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SUMIFS(RAB!$F$14:$F$104,RAB!$C$14:$C$104,C1024)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SUMIFS(RAB!$F$14:$F$104,RAB!$C$14:$C$104,C1025)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SUMIFS(RAB!$F$14:$F$104,RAB!$C$14:$C$104,C1026)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SUMIFS(RAB!$F$14:$F$104,RAB!$C$14:$C$104,C1027)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SUMIFS(RAB!$F$14:$F$104,RAB!$C$14:$C$104,C1028)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SUMIFS(RAB!$F$14:$F$104,RAB!$C$14:$C$104,C1029)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SUMIFS(RAB!$F$14:$F$104,RAB!$C$14:$C$104,C1030)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SUMIFS(RAB!$F$14:$F$104,RAB!$C$14:$C$104,C1031)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SUMIFS(RAB!$F$14:$F$104,RAB!$C$14:$C$104,C1032)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SUMIFS(RAB!$F$14:$F$104,RAB!$C$14:$C$104,C1033)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SUMIFS(RAB!$F$14:$F$104,RAB!$C$14:$C$104,C1034)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SUMIFS(RAB!$F$14:$F$104,RAB!$C$14:$C$104,C1035)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SUMIFS(RAB!$F$14:$F$104,RAB!$C$14:$C$104,C1036)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SUMIFS(RAB!$F$14:$F$104,RAB!$C$14:$C$104,C1037)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SUMIFS(RAB!$F$14:$F$104,RAB!$C$14:$C$104,C1038)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SUMIFS(RAB!$F$14:$F$104,RAB!$C$14:$C$104,C1039)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SUMIFS(RAB!$F$14:$F$104,RAB!$C$14:$C$104,C1040)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SUMIFS(RAB!$F$14:$F$104,RAB!$C$14:$C$104,C1041)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SUMIFS(RAB!$F$14:$F$104,RAB!$C$14:$C$104,C1042)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SUMIFS(RAB!$F$14:$F$104,RAB!$C$14:$C$104,C1043)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SUMIFS(RAB!$F$14:$F$104,RAB!$C$14:$C$104,C1044)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SUMIFS(RAB!$F$14:$F$104,RAB!$C$14:$C$104,C1045)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SUMIFS(RAB!$F$14:$F$104,RAB!$C$14:$C$104,C1046)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SUMIFS(RAB!$F$14:$F$104,RAB!$C$14:$C$104,C1047)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SUMIFS(RAB!$F$14:$F$104,RAB!$C$14:$C$104,C1048)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SUMIFS(RAB!$F$14:$F$104,RAB!$C$14:$C$104,C1049)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SUMIFS(RAB!$F$14:$F$104,RAB!$C$14:$C$104,C1050)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SUMIFS(RAB!$F$14:$F$104,RAB!$C$14:$C$104,C1051)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SUMIFS(RAB!$F$14:$F$104,RAB!$C$14:$C$104,C1052)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SUMIFS(RAB!$F$14:$F$104,RAB!$C$14:$C$104,C1053)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SUMIFS(RAB!$F$14:$F$104,RAB!$C$14:$C$104,C1054)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SUMIFS(RAB!$F$14:$F$104,RAB!$C$14:$C$104,C1055)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SUMIFS(RAB!$F$14:$F$104,RAB!$C$14:$C$104,C1056)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SUMIFS(RAB!$F$14:$F$104,RAB!$C$14:$C$104,C1057)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SUMIFS(RAB!$F$14:$F$104,RAB!$C$14:$C$104,C1058)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SUMIFS(RAB!$F$14:$F$104,RAB!$C$14:$C$104,C1059)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SUMIFS(RAB!$F$14:$F$104,RAB!$C$14:$C$104,C1060)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SUMIFS(RAB!$F$14:$F$104,RAB!$C$14:$C$104,C1061)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SUMIFS(RAB!$F$14:$F$104,RAB!$C$14:$C$104,C1062)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SUMIFS(RAB!$F$14:$F$104,RAB!$C$14:$C$104,C1063)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SUMIFS(RAB!$F$14:$F$104,RAB!$C$14:$C$104,C1064)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SUMIFS(RAB!$F$14:$F$104,RAB!$C$14:$C$104,C1065)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SUMIFS(RAB!$F$14:$F$104,RAB!$C$14:$C$104,C1066)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SUMIFS(RAB!$F$14:$F$104,RAB!$C$14:$C$104,C1067)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SUMIFS(RAB!$F$14:$F$104,RAB!$C$14:$C$104,C1068)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SUMIFS(RAB!$F$14:$F$104,RAB!$C$14:$C$104,C1069)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SUMIFS(RAB!$F$14:$F$104,RAB!$C$14:$C$104,C1070)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SUMIFS(RAB!$F$14:$F$104,RAB!$C$14:$C$104,C1071)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SUMIFS(RAB!$F$14:$F$104,RAB!$C$14:$C$104,C1072)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SUMIFS(RAB!$F$14:$F$104,RAB!$C$14:$C$104,C1073)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SUMIFS(RAB!$F$14:$F$104,RAB!$C$14:$C$104,C1074)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SUMIFS(RAB!$F$14:$F$104,RAB!$C$14:$C$104,C1075)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SUMIFS(RAB!$F$14:$F$104,RAB!$C$14:$C$104,C1076)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SUMIFS(RAB!$F$14:$F$104,RAB!$C$14:$C$104,C1077)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SUMIFS(RAB!$F$14:$F$104,RAB!$C$14:$C$104,C1078)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SUMIFS(RAB!$F$14:$F$104,RAB!$C$14:$C$104,C1079)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SUMIFS(RAB!$F$14:$F$104,RAB!$C$14:$C$104,C1080)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SUMIFS(RAB!$F$14:$F$104,RAB!$C$14:$C$104,C1081)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SUMIFS(RAB!$F$14:$F$104,RAB!$C$14:$C$104,C1082)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SUMIFS(RAB!$F$14:$F$104,RAB!$C$14:$C$104,C1083)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SUMIFS(RAB!$F$14:$F$104,RAB!$C$14:$C$104,C1084)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SUMIFS(RAB!$F$14:$F$104,RAB!$C$14:$C$104,C1085)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SUMIFS(RAB!$F$14:$F$104,RAB!$C$14:$C$104,C1086)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SUMIFS(RAB!$F$14:$F$104,RAB!$C$14:$C$104,C1087)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SUMIFS(RAB!$F$14:$F$104,RAB!$C$14:$C$104,C1088)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SUMIFS(RAB!$F$14:$F$104,RAB!$C$14:$C$104,C1089)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SUMIFS(RAB!$F$14:$F$104,RAB!$C$14:$C$104,C1090)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SUMIFS(RAB!$F$14:$F$104,RAB!$C$14:$C$104,C1091)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SUMIFS(RAB!$F$14:$F$104,RAB!$C$14:$C$104,C1092)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SUMIFS(RAB!$F$14:$F$104,RAB!$C$14:$C$104,C1093)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SUMIFS(RAB!$F$14:$F$104,RAB!$C$14:$C$104,C1094)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SUMIFS(RAB!$F$14:$F$104,RAB!$C$14:$C$104,C1095)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SUMIFS(RAB!$F$14:$F$104,RAB!$C$14:$C$104,C1096)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SUMIFS(RAB!$F$14:$F$104,RAB!$C$14:$C$104,C1097)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SUMIFS(RAB!$F$14:$F$104,RAB!$C$14:$C$104,C1098)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SUMIFS(RAB!$F$14:$F$104,RAB!$C$14:$C$104,C1099)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SUMIFS(RAB!$F$14:$F$104,RAB!$C$14:$C$104,C1100)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SUMIFS(RAB!$F$14:$F$104,RAB!$C$14:$C$104,C1101)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SUMIFS(RAB!$F$14:$F$104,RAB!$C$14:$C$104,C1102)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SUMIFS(RAB!$F$14:$F$104,RAB!$C$14:$C$104,C1103)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SUMIFS(RAB!$F$14:$F$104,RAB!$C$14:$C$104,C1104)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SUMIFS(RAB!$F$14:$F$104,RAB!$C$14:$C$104,C1105)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SUMIFS(RAB!$F$14:$F$104,RAB!$C$14:$C$104,C1106)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SUMIFS(RAB!$F$14:$F$104,RAB!$C$14:$C$104,C1107)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SUMIFS(RAB!$F$14:$F$104,RAB!$C$14:$C$104,C1108)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SUMIFS(RAB!$F$14:$F$104,RAB!$C$14:$C$104,C1109)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SUMIFS(RAB!$F$14:$F$104,RAB!$C$14:$C$104,C1110)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SUMIFS(RAB!$F$14:$F$104,RAB!$C$14:$C$104,C1111)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SUMIFS(RAB!$F$14:$F$104,RAB!$C$14:$C$104,C1112)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SUMIFS(RAB!$F$14:$F$104,RAB!$C$14:$C$104,C1113)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SUMIFS(RAB!$F$14:$F$104,RAB!$C$14:$C$104,C1114)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SUMIFS(RAB!$F$14:$F$104,RAB!$C$14:$C$104,C1115)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SUMIFS(RAB!$F$14:$F$104,RAB!$C$14:$C$104,C1116)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SUMIFS(RAB!$F$14:$F$104,RAB!$C$14:$C$104,C1117)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SUMIFS(RAB!$F$14:$F$104,RAB!$C$14:$C$104,C1118)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SUMIFS(RAB!$F$14:$F$104,RAB!$C$14:$C$104,C1119)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SUMIFS(RAB!$F$14:$F$104,RAB!$C$14:$C$104,C1120)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SUMIFS(RAB!$F$14:$F$104,RAB!$C$14:$C$104,C1121)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SUMIFS(RAB!$F$14:$F$104,RAB!$C$14:$C$104,C1122)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SUMIFS(RAB!$F$14:$F$104,RAB!$C$14:$C$104,C1123)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SUMIFS(RAB!$F$14:$F$104,RAB!$C$14:$C$104,C1124)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SUMIFS(RAB!$F$14:$F$104,RAB!$C$14:$C$104,C1125)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SUMIFS(RAB!$F$14:$F$104,RAB!$C$14:$C$104,C1126)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SUMIFS(RAB!$F$14:$F$104,RAB!$C$14:$C$104,C1127)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SUMIFS(RAB!$F$14:$F$104,RAB!$C$14:$C$104,C1128)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SUMIFS(RAB!$F$14:$F$104,RAB!$C$14:$C$104,C1129)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SUMIFS(RAB!$F$14:$F$104,RAB!$C$14:$C$104,C1130)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SUMIFS(RAB!$F$14:$F$104,RAB!$C$14:$C$104,C1131)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SUMIFS(RAB!$F$14:$F$104,RAB!$C$14:$C$104,C1132)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SUMIFS(RAB!$F$14:$F$104,RAB!$C$14:$C$104,C1133)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SUMIFS(RAB!$F$14:$F$104,RAB!$C$14:$C$104,C1134)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SUMIFS(RAB!$F$14:$F$104,RAB!$C$14:$C$104,C1135)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SUMIFS(RAB!$F$14:$F$104,RAB!$C$14:$C$104,C1136)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SUMIFS(RAB!$F$14:$F$104,RAB!$C$14:$C$104,C1137)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SUMIFS(RAB!$F$14:$F$104,RAB!$C$14:$C$104,C1138)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SUMIFS(RAB!$F$14:$F$104,RAB!$C$14:$C$104,C1139)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SUMIFS(RAB!$F$14:$F$104,RAB!$C$14:$C$104,C1140)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SUMIFS(RAB!$F$14:$F$104,RAB!$C$14:$C$104,C1141)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SUMIFS(RAB!$F$14:$F$104,RAB!$C$14:$C$104,C1142)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SUMIFS(RAB!$F$14:$F$104,RAB!$C$14:$C$104,C1143)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SUMIFS(RAB!$F$14:$F$104,RAB!$C$14:$C$104,C1144)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SUMIFS(RAB!$F$14:$F$104,RAB!$C$14:$C$104,C1145)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SUMIFS(RAB!$F$14:$F$104,RAB!$C$14:$C$104,C1146)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SUMIFS(RAB!$F$14:$F$104,RAB!$C$14:$C$104,C1147)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SUMIFS(RAB!$F$14:$F$104,RAB!$C$14:$C$104,C1148)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SUMIFS(RAB!$F$14:$F$104,RAB!$C$14:$C$104,C1149)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SUMIFS(RAB!$F$14:$F$104,RAB!$C$14:$C$104,C1150)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SUMIFS(RAB!$F$14:$F$104,RAB!$C$14:$C$104,C1151)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SUMIFS(RAB!$F$14:$F$104,RAB!$C$14:$C$104,C1152)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SUMIFS(RAB!$F$14:$F$104,RAB!$C$14:$C$104,C1153)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SUMIFS(RAB!$F$14:$F$104,RAB!$C$14:$C$104,C1154)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SUMIFS(RAB!$F$14:$F$104,RAB!$C$14:$C$104,C1155)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SUMIFS(RAB!$F$14:$F$104,RAB!$C$14:$C$104,C1156)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SUMIFS(RAB!$F$14:$F$104,RAB!$C$14:$C$104,C1157)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SUMIFS(RAB!$F$14:$F$104,RAB!$C$14:$C$104,C1158)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SUMIFS(RAB!$F$14:$F$104,RAB!$C$14:$C$104,C1159)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SUMIFS(RAB!$F$14:$F$104,RAB!$C$14:$C$104,C1160)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SUMIFS(RAB!$F$14:$F$104,RAB!$C$14:$C$104,C1161)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SUMIFS(RAB!$F$14:$F$104,RAB!$C$14:$C$104,C1162)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SUMIFS(RAB!$F$14:$F$104,RAB!$C$14:$C$104,C1163)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SUMIFS(RAB!$F$14:$F$104,RAB!$C$14:$C$104,C1164)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SUMIFS(RAB!$F$14:$F$104,RAB!$C$14:$C$104,C1165)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SUMIFS(RAB!$F$14:$F$104,RAB!$C$14:$C$104,C1166)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SUMIFS(RAB!$F$14:$F$104,RAB!$C$14:$C$104,C1167)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SUMIFS(RAB!$F$14:$F$104,RAB!$C$14:$C$104,C1168)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SUMIFS(RAB!$F$14:$F$104,RAB!$C$14:$C$104,C1169)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SUMIFS(RAB!$F$14:$F$104,RAB!$C$14:$C$104,C1170)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SUMIFS(RAB!$F$14:$F$104,RAB!$C$14:$C$104,C1171)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SUMIFS(RAB!$F$14:$F$104,RAB!$C$14:$C$104,C1172)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SUMIFS(RAB!$F$14:$F$104,RAB!$C$14:$C$104,C1173)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SUMIFS(RAB!$F$14:$F$104,RAB!$C$14:$C$104,C1174)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SUMIFS(RAB!$F$14:$F$104,RAB!$C$14:$C$104,C1175)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SUMIFS(RAB!$F$14:$F$104,RAB!$C$14:$C$104,C1176)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SUMIFS(RAB!$F$14:$F$104,RAB!$C$14:$C$104,C1177)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SUMIFS(RAB!$F$14:$F$104,RAB!$C$14:$C$104,C1178)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SUMIFS(RAB!$F$14:$F$104,RAB!$C$14:$C$104,C1179)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SUMIFS(RAB!$F$14:$F$104,RAB!$C$14:$C$104,C1180)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SUMIFS(RAB!$F$14:$F$104,RAB!$C$14:$C$104,C1181)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SUMIFS(RAB!$F$14:$F$104,RAB!$C$14:$C$104,C1182)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SUMIFS(RAB!$F$14:$F$104,RAB!$C$14:$C$104,C1183)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SUMIFS(RAB!$F$14:$F$104,RAB!$C$14:$C$104,C1184)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SUMIFS(RAB!$F$14:$F$104,RAB!$C$14:$C$104,C1185)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SUMIFS(RAB!$F$14:$F$104,RAB!$C$14:$C$104,C1186)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SUMIFS(RAB!$F$14:$F$104,RAB!$C$14:$C$104,C1187)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SUMIFS(RAB!$F$14:$F$104,RAB!$C$14:$C$104,C1188)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SUMIFS(RAB!$F$14:$F$104,RAB!$C$14:$C$104,C1189)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SUMIFS(RAB!$F$14:$F$104,RAB!$C$14:$C$104,C1190)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SUMIFS(RAB!$F$14:$F$104,RAB!$C$14:$C$104,C1191)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SUMIFS(RAB!$F$14:$F$104,RAB!$C$14:$C$104,C1192)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SUMIFS(RAB!$F$14:$F$104,RAB!$C$14:$C$104,C1193)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SUMIFS(RAB!$F$14:$F$104,RAB!$C$14:$C$104,C1194)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SUMIFS(RAB!$F$14:$F$104,RAB!$C$14:$C$104,C1195)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SUMIFS(RAB!$F$14:$F$104,RAB!$C$14:$C$104,C1196)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SUMIFS(RAB!$F$14:$F$104,RAB!$C$14:$C$104,C1197)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SUMIFS(RAB!$F$14:$F$104,RAB!$C$14:$C$104,C1198)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SUMIFS(RAB!$F$14:$F$104,RAB!$C$14:$C$104,C1199)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SUMIFS(RAB!$F$14:$F$104,RAB!$C$14:$C$104,C1200)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SUMIFS(RAB!$F$14:$F$104,RAB!$C$14:$C$104,C1201)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SUMIFS(RAB!$F$14:$F$104,RAB!$C$14:$C$104,C1202)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SUMIFS(RAB!$F$14:$F$104,RAB!$C$14:$C$104,C1203)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SUMIFS(RAB!$F$14:$F$104,RAB!$C$14:$C$104,C1204)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SUMIFS(RAB!$F$14:$F$104,RAB!$C$14:$C$104,C1205)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SUMIFS(RAB!$F$14:$F$104,RAB!$C$14:$C$104,C1206)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SUMIFS(RAB!$F$14:$F$104,RAB!$C$14:$C$104,C1207)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SUMIFS(RAB!$F$14:$F$104,RAB!$C$14:$C$104,C1208)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SUMIFS(RAB!$F$14:$F$104,RAB!$C$14:$C$104,C1209)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SUMIFS(RAB!$F$14:$F$104,RAB!$C$14:$C$104,C1210)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SUMIFS(RAB!$F$14:$F$104,RAB!$C$14:$C$104,C1211)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SUMIFS(RAB!$F$14:$F$104,RAB!$C$14:$C$104,C1212)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SUMIFS(RAB!$F$14:$F$104,RAB!$C$14:$C$104,C1213)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SUMIFS(RAB!$F$14:$F$104,RAB!$C$14:$C$104,C1214)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SUMIFS(RAB!$F$14:$F$104,RAB!$C$14:$C$104,C1215)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SUMIFS(RAB!$F$14:$F$104,RAB!$C$14:$C$104,C1216)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SUMIFS(RAB!$F$14:$F$104,RAB!$C$14:$C$104,C1217)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SUMIFS(RAB!$F$14:$F$104,RAB!$C$14:$C$104,C1218)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SUMIFS(RAB!$F$14:$F$104,RAB!$C$14:$C$104,C1219)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SUMIFS(RAB!$F$14:$F$104,RAB!$C$14:$C$104,C1220)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SUMIFS(RAB!$F$14:$F$104,RAB!$C$14:$C$104,C1221)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SUMIFS(RAB!$F$14:$F$104,RAB!$C$14:$C$104,C1222)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SUMIFS(RAB!$F$14:$F$104,RAB!$C$14:$C$104,C1223)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SUMIFS(RAB!$F$14:$F$104,RAB!$C$14:$C$104,C1224)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SUMIFS(RAB!$F$14:$F$104,RAB!$C$14:$C$104,C1225)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SUMIFS(RAB!$F$14:$F$104,RAB!$C$14:$C$104,C1226)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SUMIFS(RAB!$F$14:$F$104,RAB!$C$14:$C$104,C1227)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SUMIFS(RAB!$F$14:$F$104,RAB!$C$14:$C$104,C1228)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SUMIFS(RAB!$F$14:$F$104,RAB!$C$14:$C$104,C1229)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SUMIFS(RAB!$F$14:$F$104,RAB!$C$14:$C$104,C1230)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SUMIFS(RAB!$F$14:$F$104,RAB!$C$14:$C$104,C1231)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SUMIFS(RAB!$F$14:$F$104,RAB!$C$14:$C$104,C1232)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SUMIFS(RAB!$F$14:$F$104,RAB!$C$14:$C$104,C1233)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SUMIFS(RAB!$F$14:$F$104,RAB!$C$14:$C$104,C1234)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SUMIFS(RAB!$F$14:$F$104,RAB!$C$14:$C$104,C1235)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SUMIFS(RAB!$F$14:$F$104,RAB!$C$14:$C$104,C1236)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SUMIFS(RAB!$F$14:$F$104,RAB!$C$14:$C$104,C1237)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SUMIFS(RAB!$F$14:$F$104,RAB!$C$14:$C$104,C1238)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SUMIFS(RAB!$F$14:$F$104,RAB!$C$14:$C$104,C1239)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SUMIFS(RAB!$F$14:$F$104,RAB!$C$14:$C$104,C1240)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SUMIFS(RAB!$F$14:$F$104,RAB!$C$14:$C$104,C1241)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SUMIFS(RAB!$F$14:$F$104,RAB!$C$14:$C$104,C1242)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SUMIFS(RAB!$F$14:$F$104,RAB!$C$14:$C$104,C1243)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SUMIFS(RAB!$F$14:$F$104,RAB!$C$14:$C$104,C1244)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SUMIFS(RAB!$F$14:$F$104,RAB!$C$14:$C$104,C1245)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SUMIFS(RAB!$F$14:$F$104,RAB!$C$14:$C$104,C1246)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SUMIFS(RAB!$F$14:$F$104,RAB!$C$14:$C$104,C1247)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SUMIFS(RAB!$F$14:$F$104,RAB!$C$14:$C$104,C1248)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SUMIFS(RAB!$F$14:$F$104,RAB!$C$14:$C$104,C1249)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SUMIFS(RAB!$F$14:$F$104,RAB!$C$14:$C$104,C1250)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SUMIFS(RAB!$F$14:$F$104,RAB!$C$14:$C$104,C1251)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SUMIFS(RAB!$F$14:$F$104,RAB!$C$14:$C$104,C1252)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SUMIFS(RAB!$F$14:$F$104,RAB!$C$14:$C$104,C1253)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SUMIFS(RAB!$F$14:$F$104,RAB!$C$14:$C$104,C1254)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SUMIFS(RAB!$F$14:$F$104,RAB!$C$14:$C$104,C1255)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SUMIFS(RAB!$F$14:$F$104,RAB!$C$14:$C$104,C1256)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SUMIFS(RAB!$F$14:$F$104,RAB!$C$14:$C$104,C1257)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SUMIFS(RAB!$F$14:$F$104,RAB!$C$14:$C$104,C1258)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SUMIFS(RAB!$F$14:$F$104,RAB!$C$14:$C$104,C1259)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SUMIFS(RAB!$F$14:$F$104,RAB!$C$14:$C$104,C1260)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SUMIFS(RAB!$F$14:$F$104,RAB!$C$14:$C$104,C1261)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SUMIFS(RAB!$F$14:$F$104,RAB!$C$14:$C$104,C1262)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SUMIFS(RAB!$F$14:$F$104,RAB!$C$14:$C$104,C1263)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SUMIFS(RAB!$F$14:$F$104,RAB!$C$14:$C$104,C1264)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SUMIFS(RAB!$F$14:$F$104,RAB!$C$14:$C$104,C1265)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SUMIFS(RAB!$F$14:$F$104,RAB!$C$14:$C$104,C1266)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SUMIFS(RAB!$F$14:$F$104,RAB!$C$14:$C$104,C1267)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SUMIFS(RAB!$F$14:$F$104,RAB!$C$14:$C$104,C1268)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SUMIFS(RAB!$F$14:$F$104,RAB!$C$14:$C$104,C1269)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SUMIFS(RAB!$F$14:$F$104,RAB!$C$14:$C$104,C1270)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SUMIFS(RAB!$F$14:$F$104,RAB!$C$14:$C$104,C1271)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SUMIFS(RAB!$F$14:$F$104,RAB!$C$14:$C$104,C1272)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SUMIFS(RAB!$F$14:$F$104,RAB!$C$14:$C$104,C1273)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SUMIFS(RAB!$F$14:$F$104,RAB!$C$14:$C$104,C1274)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SUMIFS(RAB!$F$14:$F$104,RAB!$C$14:$C$104,C1275)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SUMIFS(RAB!$F$14:$F$104,RAB!$C$14:$C$104,C1276)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SUMIFS(RAB!$F$14:$F$104,RAB!$C$14:$C$104,C1277)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SUMIFS(RAB!$F$14:$F$104,RAB!$C$14:$C$104,C1278)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SUMIFS(RAB!$F$14:$F$104,RAB!$C$14:$C$104,C1279)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SUMIFS(RAB!$F$14:$F$104,RAB!$C$14:$C$104,C1280)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SUMIFS(RAB!$F$14:$F$104,RAB!$C$14:$C$104,C1281)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SUMIFS(RAB!$F$14:$F$104,RAB!$C$14:$C$104,C1282)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SUMIFS(RAB!$F$14:$F$104,RAB!$C$14:$C$104,C1283)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SUMIFS(RAB!$F$14:$F$104,RAB!$C$14:$C$104,C1284)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SUMIFS(RAB!$F$14:$F$104,RAB!$C$14:$C$104,C1285)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SUMIFS(RAB!$F$14:$F$104,RAB!$C$14:$C$104,C1286)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SUMIFS(RAB!$F$14:$F$104,RAB!$C$14:$C$104,C1287)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SUMIFS(RAB!$F$14:$F$104,RAB!$C$14:$C$104,C1288)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SUMIFS(RAB!$F$14:$F$104,RAB!$C$14:$C$104,C1289)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SUMIFS(RAB!$F$14:$F$104,RAB!$C$14:$C$104,C1290)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SUMIFS(RAB!$F$14:$F$104,RAB!$C$14:$C$104,C1291)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SUMIFS(RAB!$F$14:$F$104,RAB!$C$14:$C$104,C1292)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SUMIFS(RAB!$F$14:$F$104,RAB!$C$14:$C$104,C1293)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SUMIFS(RAB!$F$14:$F$104,RAB!$C$14:$C$104,C1294)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SUMIFS(RAB!$F$14:$F$104,RAB!$C$14:$C$104,C1295)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SUMIFS(RAB!$F$14:$F$104,RAB!$C$14:$C$104,C1296)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SUMIFS(RAB!$F$14:$F$104,RAB!$C$14:$C$104,C1297)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SUMIFS(RAB!$F$14:$F$104,RAB!$C$14:$C$104,C1298)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SUMIFS(RAB!$F$14:$F$104,RAB!$C$14:$C$104,C1299)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SUMIFS(RAB!$F$14:$F$104,RAB!$C$14:$C$104,C1300)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SUMIFS(RAB!$F$14:$F$104,RAB!$C$14:$C$104,C1301)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SUMIFS(RAB!$F$14:$F$104,RAB!$C$14:$C$104,C1302)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SUMIFS(RAB!$F$14:$F$104,RAB!$C$14:$C$104,C1303)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SUMIFS(RAB!$F$14:$F$104,RAB!$C$14:$C$104,C1304)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SUMIFS(RAB!$F$14:$F$104,RAB!$C$14:$C$104,C1305)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SUMIFS(RAB!$F$14:$F$104,RAB!$C$14:$C$104,C1306)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SUMIFS(RAB!$F$14:$F$104,RAB!$C$14:$C$104,C1307)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SUMIFS(RAB!$F$14:$F$104,RAB!$C$14:$C$104,C1308)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SUMIFS(RAB!$F$14:$F$104,RAB!$C$14:$C$104,C1309)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SUMIFS(RAB!$F$14:$F$104,RAB!$C$14:$C$104,C1310)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SUMIFS(RAB!$F$14:$F$104,RAB!$C$14:$C$104,C1311)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SUMIFS(RAB!$F$14:$F$104,RAB!$C$14:$C$104,C1312)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SUMIFS(RAB!$F$14:$F$104,RAB!$C$14:$C$104,C1313)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SUMIFS(RAB!$F$14:$F$104,RAB!$C$14:$C$104,C1314)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SUMIFS(RAB!$F$14:$F$104,RAB!$C$14:$C$104,C1315)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SUMIFS(RAB!$F$14:$F$104,RAB!$C$14:$C$104,C1316)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SUMIFS(RAB!$F$14:$F$104,RAB!$C$14:$C$104,C1317)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SUMIFS(RAB!$F$14:$F$104,RAB!$C$14:$C$104,C1318)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SUMIFS(RAB!$F$14:$F$104,RAB!$C$14:$C$104,C1319)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SUMIFS(RAB!$F$14:$F$104,RAB!$C$14:$C$104,C1320)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9" priority="5" operator="equal">
      <formula>0</formula>
    </cfRule>
  </conditionalFormatting>
  <conditionalFormatting sqref="A10:L65536">
    <cfRule type="cellIs" dxfId="58" priority="1" operator="equal">
      <formula>0</formula>
    </cfRule>
  </conditionalFormatting>
  <conditionalFormatting sqref="C12:C711">
    <cfRule type="cellIs" dxfId="57" priority="66" stopIfTrue="1" operator="equal">
      <formula>0</formula>
    </cfRule>
  </conditionalFormatting>
  <conditionalFormatting sqref="E712:E65536">
    <cfRule type="cellIs" dxfId="56" priority="16" stopIfTrue="1" operator="equal">
      <formula>0</formula>
    </cfRule>
  </conditionalFormatting>
  <conditionalFormatting sqref="G1:G11 E6:E11 E1:E3 H7 H10:H11 F10:F711 G712:G65536">
    <cfRule type="cellIs" dxfId="55" priority="69" stopIfTrue="1" operator="equal">
      <formula>0</formula>
    </cfRule>
  </conditionalFormatting>
  <conditionalFormatting sqref="G12:H711">
    <cfRule type="cellIs" dxfId="54" priority="12" stopIfTrue="1" operator="equal">
      <formula>0</formula>
    </cfRule>
  </conditionalFormatting>
  <conditionalFormatting sqref="I7:K7">
    <cfRule type="cellIs" dxfId="53" priority="4" stopIfTrue="1" operator="equal">
      <formula>0</formula>
    </cfRule>
  </conditionalFormatting>
  <conditionalFormatting sqref="I10:L711">
    <cfRule type="cellIs" dxfId="52" priority="2" stopIfTrue="1" operator="equal">
      <formula>0</formula>
    </cfRule>
  </conditionalFormatting>
  <conditionalFormatting sqref="L1:L6">
    <cfRule type="cellIs" dxfId="51" priority="10" operator="equal">
      <formula>0</formula>
    </cfRule>
  </conditionalFormatting>
  <conditionalFormatting sqref="M1:IV1048576 A8:G9">
    <cfRule type="cellIs" dxfId="5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1" t="s">
        <v>1127</v>
      </c>
      <c r="C4" s="551"/>
      <c r="D4" s="551"/>
      <c r="E4" s="551"/>
      <c r="F4" s="551"/>
      <c r="G4" s="551"/>
      <c r="H4" s="551"/>
      <c r="I4" s="551"/>
      <c r="J4" s="551"/>
      <c r="K4" s="55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4" t="str">
        <f>RAB!G6</f>
        <v>PD ALI MUHMUDI 23-66KVA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NAMBUHAN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2" t="s">
        <v>0</v>
      </c>
      <c r="C11" s="554" t="s">
        <v>1</v>
      </c>
      <c r="D11" s="557" t="s">
        <v>42</v>
      </c>
      <c r="E11" s="557" t="s">
        <v>43</v>
      </c>
      <c r="F11" s="557" t="s">
        <v>2</v>
      </c>
      <c r="G11" s="558" t="s">
        <v>41</v>
      </c>
      <c r="H11" s="557" t="s">
        <v>3</v>
      </c>
      <c r="I11" s="557"/>
      <c r="J11" s="557"/>
      <c r="K11" s="561"/>
      <c r="M11" s="33"/>
      <c r="N11" s="33"/>
      <c r="O11" s="33"/>
      <c r="P11" s="33"/>
      <c r="R11" s="34"/>
      <c r="S11" s="74"/>
      <c r="T11" s="74"/>
    </row>
    <row r="12" spans="1:21" ht="15" customHeight="1">
      <c r="B12" s="553"/>
      <c r="C12" s="555"/>
      <c r="D12" s="547"/>
      <c r="E12" s="547"/>
      <c r="F12" s="547"/>
      <c r="G12" s="559"/>
      <c r="H12" s="549" t="s">
        <v>46</v>
      </c>
      <c r="I12" s="549" t="s">
        <v>5</v>
      </c>
      <c r="J12" s="547" t="s">
        <v>47</v>
      </c>
      <c r="K12" s="54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3"/>
      <c r="C13" s="556"/>
      <c r="D13" s="547"/>
      <c r="E13" s="547"/>
      <c r="F13" s="547"/>
      <c r="G13" s="560"/>
      <c r="H13" s="550"/>
      <c r="I13" s="550"/>
      <c r="J13" s="547"/>
      <c r="K13" s="54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5" t="s">
        <v>1008</v>
      </c>
      <c r="D38" s="545"/>
      <c r="E38" s="545"/>
      <c r="F38" s="545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6" t="s">
        <v>462</v>
      </c>
      <c r="D39" s="546"/>
      <c r="E39" s="546"/>
      <c r="F39" s="546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5" t="s">
        <v>463</v>
      </c>
      <c r="D40" s="535"/>
      <c r="E40" s="535"/>
      <c r="F40" s="535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8" t="e">
        <f ca="1">"Terbilang : ( "&amp;L42&amp;" Rupiah )"</f>
        <v>#NAME?</v>
      </c>
      <c r="C41" s="539"/>
      <c r="D41" s="539"/>
      <c r="E41" s="539"/>
      <c r="F41" s="539"/>
      <c r="G41" s="539"/>
      <c r="H41" s="539"/>
      <c r="I41" s="539"/>
      <c r="J41" s="539"/>
      <c r="K41" s="540"/>
      <c r="L41" s="44"/>
      <c r="R41" s="58"/>
      <c r="S41" s="58"/>
      <c r="T41" s="58"/>
    </row>
    <row r="42" spans="1:20" s="36" customFormat="1">
      <c r="A42" s="30"/>
      <c r="B42" s="541"/>
      <c r="C42" s="542"/>
      <c r="D42" s="542"/>
      <c r="E42" s="542"/>
      <c r="F42" s="542"/>
      <c r="G42" s="542"/>
      <c r="H42" s="542"/>
      <c r="I42" s="542"/>
      <c r="J42" s="542"/>
      <c r="K42" s="543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6"/>
      <c r="I45" s="536"/>
      <c r="J45" s="537"/>
      <c r="K45" s="53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6"/>
      <c r="I46" s="536"/>
      <c r="J46" s="537"/>
      <c r="K46" s="53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6"/>
      <c r="I47" s="536"/>
      <c r="J47" s="537"/>
      <c r="K47" s="53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6"/>
      <c r="I52" s="536"/>
      <c r="J52" s="537"/>
      <c r="K52" s="53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SUMIFS(RAB!$F$14:$F$104,RAB!$C$14:$C$104,'REKAP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SUMIFS(RAB!$F$14:$F$104,RAB!$C$14:$C$104,'REKAP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SUMIFS(RAB!$F$14:$F$104,RAB!$C$14:$C$104,'REKAP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SUMIFS(RAB!$F$14:$F$104,RAB!$C$14:$C$104,'REKAP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SUMIFS(RAB!$F$14:$F$104,RAB!$C$14:$C$104,'REKAP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SUMIFS(RAB!$F$14:$F$104,RAB!$C$14:$C$104,'REKAP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SUMIFS(RAB!$F$14:$F$104,RAB!$C$14:$C$104,'REKAP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SUMIFS(RAB!$F$14:$F$104,RAB!$C$14:$C$104,'REKAP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SUMIFS(RAB!$F$14:$F$104,RAB!$C$14:$C$104,'REKAP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SUMIFS(RAB!$F$14:$F$104,RAB!$C$14:$C$104,'REKAP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SUMIFS(RAB!$F$14:$F$104,RAB!$C$14:$C$104,'REKAP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SUMIFS(RAB!$F$14:$F$104,RAB!$C$14:$C$104,'REKAP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SUMIFS(RAB!$F$14:$F$104,RAB!$C$14:$C$104,'REKAP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SUMIFS(RAB!$F$14:$F$104,RAB!$C$14:$C$104,'REKAP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SUMIFS(RAB!$F$14:$F$104,RAB!$C$14:$C$104,'REKAP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SUMIFS(RAB!$F$14:$F$104,RAB!$C$14:$C$104,'REKAP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SUMIFS(RAB!$F$14:$F$104,RAB!$C$14:$C$104,'REKAP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SUMIFS(RAB!$F$14:$F$104,RAB!$C$14:$C$104,'REKAP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SUMIFS(RAB!$F$14:$F$104,RAB!$C$14:$C$104,'REKAP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SUMIFS(RAB!$F$14:$F$104,RAB!$C$14:$C$104,'REKAP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0" activePane="bottomRight" state="frozen"/>
      <selection activeCell="D209" sqref="D209"/>
      <selection pane="topRight" activeCell="D209" sqref="D209"/>
      <selection pane="bottomLeft" activeCell="D209" sqref="D209"/>
      <selection pane="bottomRight" activeCell="C22" sqref="C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1" t="s">
        <v>1034</v>
      </c>
      <c r="C4" s="551"/>
      <c r="D4" s="551"/>
      <c r="E4" s="551"/>
      <c r="F4" s="551"/>
      <c r="G4" s="551"/>
      <c r="H4" s="551"/>
      <c r="I4" s="551"/>
      <c r="J4" s="551"/>
      <c r="K4" s="55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4" t="str">
        <f>RAB!G6</f>
        <v>PD ALI MUHMUDI 23-66KVA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NAMBUHAN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2" t="s">
        <v>0</v>
      </c>
      <c r="C11" s="554" t="s">
        <v>1</v>
      </c>
      <c r="D11" s="557" t="s">
        <v>42</v>
      </c>
      <c r="E11" s="557" t="s">
        <v>43</v>
      </c>
      <c r="F11" s="557" t="s">
        <v>2</v>
      </c>
      <c r="G11" s="558" t="s">
        <v>41</v>
      </c>
      <c r="H11" s="557" t="s">
        <v>3</v>
      </c>
      <c r="I11" s="557"/>
      <c r="J11" s="557"/>
      <c r="K11" s="561"/>
      <c r="M11" s="33"/>
      <c r="N11" s="33"/>
      <c r="O11" s="33"/>
      <c r="P11" s="33"/>
      <c r="R11" s="34"/>
      <c r="S11" s="74"/>
      <c r="T11" s="74"/>
    </row>
    <row r="12" spans="1:21" ht="15" customHeight="1">
      <c r="B12" s="553"/>
      <c r="C12" s="555"/>
      <c r="D12" s="547"/>
      <c r="E12" s="547"/>
      <c r="F12" s="547"/>
      <c r="G12" s="559"/>
      <c r="H12" s="549" t="s">
        <v>46</v>
      </c>
      <c r="I12" s="549" t="s">
        <v>5</v>
      </c>
      <c r="J12" s="547" t="s">
        <v>47</v>
      </c>
      <c r="K12" s="54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3"/>
      <c r="C13" s="556"/>
      <c r="D13" s="547"/>
      <c r="E13" s="547"/>
      <c r="F13" s="547"/>
      <c r="G13" s="560"/>
      <c r="H13" s="550"/>
      <c r="I13" s="550"/>
      <c r="J13" s="547"/>
      <c r="K13" s="54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66 kVA MCCB 100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9</v>
      </c>
      <c r="G21" s="41">
        <f ca="1">IF(ISERROR(OFFSET('HARGA SATUAN'!$I$6,MATCH(C21,'HARGA SATUAN'!$C$7:$C$1495,0),0)),"",OFFSET('HARGA SATUAN'!$I$6,MATCH(C21,'HARGA SATUAN'!$C$7:$C$1495,0),0))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140</v>
      </c>
      <c r="G22" s="41">
        <f ca="1">IF(ISERROR(OFFSET('HARGA SATUAN'!$I$6,MATCH(C22,'HARGA SATUAN'!$C$7:$C$1495,0),0)),"",OFFSET('HARGA SATUAN'!$I$6,MATCH(C22,'HARGA SATUAN'!$C$7:$C$1495,0),0))</f>
        <v>54500</v>
      </c>
      <c r="H22" s="42">
        <f t="shared" ca="1" si="1"/>
        <v>7630000</v>
      </c>
      <c r="I22" s="42">
        <f t="shared" ca="1" si="2"/>
        <v>0</v>
      </c>
      <c r="J22" s="42">
        <f t="shared" ca="1" si="3"/>
        <v>0</v>
      </c>
      <c r="K22" s="43">
        <f t="shared" ca="1" si="0"/>
        <v>7630000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5" t="s">
        <v>1008</v>
      </c>
      <c r="D168" s="545"/>
      <c r="E168" s="545"/>
      <c r="F168" s="545"/>
      <c r="G168" s="77" t="s">
        <v>9</v>
      </c>
      <c r="H168" s="55">
        <f ca="1">SUM(H14:H167)</f>
        <v>84467350</v>
      </c>
      <c r="I168" s="55">
        <f ca="1">SUM(I14:I167)</f>
        <v>0</v>
      </c>
      <c r="J168" s="55">
        <f ca="1">SUM(J14:J167)</f>
        <v>0</v>
      </c>
      <c r="K168" s="55">
        <f ca="1">SUM(K14:K167)</f>
        <v>84467350</v>
      </c>
      <c r="L168" s="44"/>
      <c r="R168" s="99"/>
      <c r="S168" s="99"/>
      <c r="T168" s="99"/>
    </row>
    <row r="169" spans="1:20" s="36" customFormat="1">
      <c r="A169" s="30"/>
      <c r="B169" s="56"/>
      <c r="C169" s="546" t="s">
        <v>462</v>
      </c>
      <c r="D169" s="546"/>
      <c r="E169" s="546"/>
      <c r="F169" s="546"/>
      <c r="G169" s="59" t="s">
        <v>9</v>
      </c>
      <c r="H169" s="60">
        <f ca="1">H168*0.1</f>
        <v>8446735</v>
      </c>
      <c r="I169" s="60">
        <f ca="1">I168*0.1</f>
        <v>0</v>
      </c>
      <c r="J169" s="60">
        <f ca="1">J168*0.1</f>
        <v>0</v>
      </c>
      <c r="K169" s="60">
        <f ca="1">K168*0.1</f>
        <v>8446735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5" t="s">
        <v>463</v>
      </c>
      <c r="D170" s="535"/>
      <c r="E170" s="535"/>
      <c r="F170" s="535"/>
      <c r="G170" s="61" t="s">
        <v>9</v>
      </c>
      <c r="H170" s="78">
        <f ca="1">SUM(H168:H169)</f>
        <v>92914085</v>
      </c>
      <c r="I170" s="78">
        <f ca="1">SUM(I168:I169)</f>
        <v>0</v>
      </c>
      <c r="J170" s="61">
        <f ca="1">SUM(J168:J169)</f>
        <v>0</v>
      </c>
      <c r="K170" s="61">
        <f ca="1">SUM(K168:K169)</f>
        <v>92914085</v>
      </c>
      <c r="L170" s="44"/>
      <c r="R170" s="99"/>
      <c r="S170" s="99"/>
      <c r="T170" s="99"/>
    </row>
    <row r="171" spans="1:20" s="36" customFormat="1">
      <c r="A171" s="30"/>
      <c r="B171" s="538" t="e">
        <f ca="1">"Terbilang : ( "&amp;L172&amp;" Rupiah )"</f>
        <v>#NAME?</v>
      </c>
      <c r="C171" s="539"/>
      <c r="D171" s="539"/>
      <c r="E171" s="539"/>
      <c r="F171" s="539"/>
      <c r="G171" s="539"/>
      <c r="H171" s="539"/>
      <c r="I171" s="539"/>
      <c r="J171" s="539"/>
      <c r="K171" s="540"/>
      <c r="L171" s="44"/>
      <c r="R171" s="58"/>
      <c r="S171" s="58"/>
      <c r="T171" s="58"/>
    </row>
    <row r="172" spans="1:20" s="36" customFormat="1">
      <c r="A172" s="30"/>
      <c r="B172" s="541"/>
      <c r="C172" s="542"/>
      <c r="D172" s="542"/>
      <c r="E172" s="542"/>
      <c r="F172" s="542"/>
      <c r="G172" s="542"/>
      <c r="H172" s="542"/>
      <c r="I172" s="542"/>
      <c r="J172" s="542"/>
      <c r="K172" s="543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6"/>
      <c r="I175" s="536"/>
      <c r="J175" s="537"/>
      <c r="K175" s="53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6"/>
      <c r="I176" s="536"/>
      <c r="J176" s="537"/>
      <c r="K176" s="53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6"/>
      <c r="I177" s="536"/>
      <c r="J177" s="537"/>
      <c r="K177" s="53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6"/>
      <c r="I182" s="536"/>
      <c r="J182" s="537"/>
      <c r="K182" s="53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SUMIFS(RAB!$F$14:$F$104,RAB!$C$14:$C$104,C224)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SUMIFS(RAB!$F$14:$F$104,RAB!$C$14:$C$104,C225)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SUMIFS(RAB!$F$14:$F$104,RAB!$C$14:$C$104,C226)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SUMIFS(RAB!$F$14:$F$104,RAB!$C$14:$C$104,C227)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SUMIFS(RAB!$F$14:$F$104,RAB!$C$14:$C$104,C228)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SUMIFS(RAB!$F$14:$F$104,RAB!$C$14:$C$104,C229)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SUMIFS(RAB!$F$14:$F$104,RAB!$C$14:$C$104,C230)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SUMIFS(RAB!$F$14:$F$104,RAB!$C$14:$C$104,C231)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SUMIFS(RAB!$F$14:$F$104,RAB!$C$14:$C$104,C232)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SUMIFS(RAB!$F$14:$F$104,RAB!$C$14:$C$104,C233)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SUMIFS(RAB!$F$14:$F$104,RAB!$C$14:$C$104,C234)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SUMIFS(RAB!$F$14:$F$104,RAB!$C$14:$C$104,C235)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SUMIFS(RAB!$F$14:$F$104,RAB!$C$14:$C$104,C236)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SUMIFS(RAB!$F$14:$F$104,RAB!$C$14:$C$104,C237)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SUMIFS(RAB!$F$14:$F$104,RAB!$C$14:$C$104,C238)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SUMIFS(RAB!$F$14:$F$104,RAB!$C$14:$C$104,C239)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SUMIFS(RAB!$F$14:$F$104,RAB!$C$14:$C$104,C240)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SUMIFS(RAB!$F$14:$F$104,RAB!$C$14:$C$104,C241)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SUMIFS(RAB!$F$14:$F$104,RAB!$C$14:$C$104,C242)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SUMIFS(RAB!$F$14:$F$104,RAB!$C$14:$C$104,C243)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SUMIFS(RAB!$F$14:$F$104,RAB!$C$14:$C$104,C244)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SUMIFS(RAB!$F$14:$F$104,RAB!$C$14:$C$104,C245)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SUMIFS(RAB!$F$14:$F$104,RAB!$C$14:$C$104,C246)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SUMIFS(RAB!$F$14:$F$104,RAB!$C$14:$C$104,C247)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SUMIFS(RAB!$F$14:$F$104,RAB!$C$14:$C$104,C248)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SUMIFS(RAB!$F$14:$F$104,RAB!$C$14:$C$104,C249)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SUMIFS(RAB!$F$14:$F$104,RAB!$C$14:$C$104,C250)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SUMIFS(RAB!$F$14:$F$104,RAB!$C$14:$C$104,C251)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SUMIFS(RAB!$F$14:$F$104,RAB!$C$14:$C$104,C252)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SUMIFS(RAB!$F$14:$F$104,RAB!$C$14:$C$104,C253)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SUMIFS(RAB!$F$14:$F$104,RAB!$C$14:$C$104,C254)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SUMIFS(RAB!$F$14:$F$104,RAB!$C$14:$C$104,C255)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SUMIFS(RAB!$F$14:$F$104,RAB!$C$14:$C$104,C256)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SUMIFS(RAB!$F$14:$F$104,RAB!$C$14:$C$104,C257)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SUMIFS(RAB!$F$14:$F$104,RAB!$C$14:$C$104,C258)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SUMIFS(RAB!$F$14:$F$104,RAB!$C$14:$C$104,C259)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SUMIFS(RAB!$F$14:$F$104,RAB!$C$14:$C$104,C260)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SUMIFS(RAB!$F$14:$F$104,RAB!$C$14:$C$104,C261)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SUMIFS(RAB!$F$14:$F$104,RAB!$C$14:$C$104,C262)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SUMIFS(RAB!$F$14:$F$104,RAB!$C$14:$C$104,C263)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SUMIFS(RAB!$F$14:$F$104,RAB!$C$14:$C$104,C264)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SUMIFS(RAB!$F$14:$F$104,RAB!$C$14:$C$104,C265)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SUMIFS(RAB!$F$14:$F$104,RAB!$C$14:$C$104,C266)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SUMIFS(RAB!$F$14:$F$104,RAB!$C$14:$C$104,C267)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SUMIFS(RAB!$F$14:$F$104,RAB!$C$14:$C$104,C268)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SUMIFS(RAB!$F$14:$F$104,RAB!$C$14:$C$104,C269)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SUMIFS(RAB!$F$14:$F$104,RAB!$C$14:$C$104,C270)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SUMIFS(RAB!$F$14:$F$104,RAB!$C$14:$C$104,C271)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SUMIFS(RAB!$F$14:$F$104,RAB!$C$14:$C$104,C272)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SUMIFS(RAB!$F$14:$F$104,RAB!$C$14:$C$104,C273)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SUMIFS(RAB!$F$14:$F$104,RAB!$C$14:$C$104,C274)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SUMIFS(RAB!$F$14:$F$104,RAB!$C$14:$C$104,C275)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SUMIFS(RAB!$F$14:$F$104,RAB!$C$14:$C$104,C276)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SUMIFS(RAB!$F$14:$F$104,RAB!$C$14:$C$104,C277)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SUMIFS(RAB!$F$14:$F$104,RAB!$C$14:$C$104,C278)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SUMIFS(RAB!$F$14:$F$104,RAB!$C$14:$C$104,C279)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SUMIFS(RAB!$F$14:$F$104,RAB!$C$14:$C$104,C280)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SUMIFS(RAB!$F$14:$F$104,RAB!$C$14:$C$104,C281)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SUMIFS(RAB!$F$14:$F$104,RAB!$C$14:$C$104,C282)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SUMIFS(RAB!$F$14:$F$104,RAB!$C$14:$C$104,C283)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SUMIFS(RAB!$F$14:$F$104,RAB!$C$14:$C$104,C284)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SUMIFS(RAB!$F$14:$F$104,RAB!$C$14:$C$104,C285)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SUMIFS(RAB!$F$14:$F$104,RAB!$C$14:$C$104,C286)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SUMIFS(RAB!$F$14:$F$104,RAB!$C$14:$C$104,C287)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SUMIFS(RAB!$F$14:$F$104,RAB!$C$14:$C$104,C288)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SUMIFS(RAB!$F$14:$F$104,RAB!$C$14:$C$104,C289)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SUMIFS(RAB!$F$14:$F$104,RAB!$C$14:$C$104,C290)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SUMIFS(RAB!$F$14:$F$104,RAB!$C$14:$C$104,C291)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SUMIFS(RAB!$F$14:$F$104,RAB!$C$14:$C$104,C292)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SUMIFS(RAB!$F$14:$F$104,RAB!$C$14:$C$104,C293)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SUMIFS(RAB!$F$14:$F$104,RAB!$C$14:$C$104,C294)</f>
        <v>1</v>
      </c>
      <c r="E294" s="24">
        <f t="shared" ca="1" si="22"/>
        <v>1</v>
      </c>
      <c r="F294" s="24">
        <f ca="1">IF(D294=0,0,SUM($E$223:E294))</f>
        <v>2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SUMIFS(RAB!$F$14:$F$104,RAB!$C$14:$C$104,C295)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SUMIFS(RAB!$F$14:$F$104,RAB!$C$14:$C$104,C296)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SUMIFS(RAB!$F$14:$F$104,RAB!$C$14:$C$104,C297)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SUMIFS(RAB!$F$14:$F$104,RAB!$C$14:$C$104,C298)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SUMIFS(RAB!$F$14:$F$104,RAB!$C$14:$C$104,C299)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SUMIFS(RAB!$F$14:$F$104,RAB!$C$14:$C$104,C300)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SUMIFS(RAB!$F$14:$F$104,RAB!$C$14:$C$104,C301)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SUMIFS(RAB!$F$14:$F$104,RAB!$C$14:$C$104,C302)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SUMIFS(RAB!$F$14:$F$104,RAB!$C$14:$C$104,C303)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SUMIFS(RAB!$F$14:$F$104,RAB!$C$14:$C$104,C304)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SUMIFS(RAB!$F$14:$F$104,RAB!$C$14:$C$104,C305)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SUMIFS(RAB!$F$14:$F$104,RAB!$C$14:$C$104,C306)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SUMIFS(RAB!$F$14:$F$104,RAB!$C$14:$C$104,C307)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SUMIFS(RAB!$F$14:$F$104,RAB!$C$14:$C$104,C308)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SUMIFS(RAB!$F$14:$F$104,RAB!$C$14:$C$104,C309)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SUMIFS(RAB!$F$14:$F$104,RAB!$C$14:$C$104,C310)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SUMIFS(RAB!$F$14:$F$104,RAB!$C$14:$C$104,C311)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SUMIFS(RAB!$F$14:$F$104,RAB!$C$14:$C$104,C312)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SUMIFS(RAB!$F$14:$F$104,RAB!$C$14:$C$104,C313)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SUMIFS(RAB!$F$14:$F$104,RAB!$C$14:$C$104,C314)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SUMIFS(RAB!$F$14:$F$104,RAB!$C$14:$C$104,C315)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SUMIFS(RAB!$F$14:$F$104,RAB!$C$14:$C$104,C316)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SUMIFS(RAB!$F$14:$F$104,RAB!$C$14:$C$104,C317)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SUMIFS(RAB!$F$14:$F$104,RAB!$C$14:$C$104,C318)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SUMIFS(RAB!$F$14:$F$104,RAB!$C$14:$C$104,C319)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SUMIFS(RAB!$F$14:$F$104,RAB!$C$14:$C$104,C320)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SUMIFS(RAB!$F$14:$F$104,RAB!$C$14:$C$104,C321)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SUMIFS(RAB!$F$14:$F$104,RAB!$C$14:$C$104,C322)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SUMIFS(RAB!$F$14:$F$104,RAB!$C$14:$C$104,C323)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SUMIFS(RAB!$F$14:$F$104,RAB!$C$14:$C$104,C324)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SUMIFS(RAB!$F$14:$F$104,RAB!$C$14:$C$104,C325)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SUMIFS(RAB!$F$14:$F$104,RAB!$C$14:$C$104,C326)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SUMIFS(RAB!$F$14:$F$104,RAB!$C$14:$C$104,C327)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SUMIFS(RAB!$F$14:$F$104,RAB!$C$14:$C$104,C328)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SUMIFS(RAB!$F$14:$F$104,RAB!$C$14:$C$104,C329)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SUMIFS(RAB!$F$14:$F$104,RAB!$C$14:$C$104,C330)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SUMIFS(RAB!$F$14:$F$104,RAB!$C$14:$C$104,C331)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SUMIFS(RAB!$F$14:$F$104,RAB!$C$14:$C$104,C332)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SUMIFS(RAB!$F$14:$F$104,RAB!$C$14:$C$104,C333)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SUMIFS(RAB!$F$14:$F$104,RAB!$C$14:$C$104,C334)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SUMIFS(RAB!$F$14:$F$104,RAB!$C$14:$C$104,C335)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SUMIFS(RAB!$F$14:$F$104,RAB!$C$14:$C$104,C336)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SUMIFS(RAB!$F$14:$F$104,RAB!$C$14:$C$104,C337)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SUMIFS(RAB!$F$14:$F$104,RAB!$C$14:$C$104,C338)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SUMIFS(RAB!$F$14:$F$104,RAB!$C$14:$C$104,C339)</f>
        <v>9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SUMIFS(RAB!$F$14:$F$104,RAB!$C$14:$C$104,C340)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SUMIFS(RAB!$F$14:$F$104,RAB!$C$14:$C$104,C341)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SUMIFS(RAB!$F$14:$F$104,RAB!$C$14:$C$104,C342)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SUMIFS(RAB!$F$14:$F$104,RAB!$C$14:$C$104,C343)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SUMIFS(RAB!$F$14:$F$104,RAB!$C$14:$C$104,C344)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SUMIFS(RAB!$F$14:$F$104,RAB!$C$14:$C$104,C345)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SUMIFS(RAB!$F$14:$F$104,RAB!$C$14:$C$104,C346)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SUMIFS(RAB!$F$14:$F$104,RAB!$C$14:$C$104,C347)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SUMIFS(RAB!$F$14:$F$104,RAB!$C$14:$C$104,C348)</f>
        <v>140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SUMIFS(RAB!$F$14:$F$104,RAB!$C$14:$C$104,C349)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SUMIFS(RAB!$F$14:$F$104,RAB!$C$14:$C$104,C350)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SUMIFS(RAB!$F$14:$F$104,RAB!$C$14:$C$104,C351)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SUMIFS(RAB!$F$14:$F$104,RAB!$C$14:$C$104,C352)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SUMIFS(RAB!$F$14:$F$104,RAB!$C$14:$C$104,C353)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SUMIFS(RAB!$F$14:$F$104,RAB!$C$14:$C$104,C354)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SUMIFS(RAB!$F$14:$F$104,RAB!$C$14:$C$104,C355)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SUMIFS(RAB!$F$14:$F$104,RAB!$C$14:$C$104,C356)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SUMIFS(RAB!$F$14:$F$104,RAB!$C$14:$C$104,C357)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SUMIFS(RAB!$F$14:$F$104,RAB!$C$14:$C$104,C358)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SUMIFS(RAB!$F$14:$F$104,RAB!$C$14:$C$104,C359)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SUMIFS(RAB!$F$14:$F$104,RAB!$C$14:$C$104,C360)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SUMIFS(RAB!$F$14:$F$104,RAB!$C$14:$C$104,C361)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SUMIFS(RAB!$F$14:$F$104,RAB!$C$14:$C$104,C362)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SUMIFS(RAB!$F$14:$F$104,RAB!$C$14:$C$104,C363)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SUMIFS(RAB!$F$14:$F$104,RAB!$C$14:$C$104,C364)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SUMIFS(RAB!$F$14:$F$104,RAB!$C$14:$C$104,C365)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SUMIFS(RAB!$F$14:$F$104,RAB!$C$14:$C$104,C366)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SUMIFS(RAB!$F$14:$F$104,RAB!$C$14:$C$104,C367)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SUMIFS(RAB!$F$14:$F$104,RAB!$C$14:$C$104,C368)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SUMIFS(RAB!$F$14:$F$104,RAB!$C$14:$C$104,C369)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SUMIFS(RAB!$F$14:$F$104,RAB!$C$14:$C$104,C370)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SUMIFS(RAB!$F$14:$F$104,RAB!$C$14:$C$104,C371)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SUMIFS(RAB!$F$14:$F$104,RAB!$C$14:$C$104,C372)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SUMIFS(RAB!$F$14:$F$104,RAB!$C$14:$C$104,C373)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7" priority="5" operator="equal">
      <formula>0</formula>
    </cfRule>
  </conditionalFormatting>
  <conditionalFormatting sqref="C16:C165">
    <cfRule type="cellIs" dxfId="46" priority="4" stopIfTrue="1" operator="equal">
      <formula>0</formula>
    </cfRule>
  </conditionalFormatting>
  <conditionalFormatting sqref="C16:E165">
    <cfRule type="cellIs" dxfId="45" priority="1" operator="equal">
      <formula>0</formula>
    </cfRule>
  </conditionalFormatting>
  <conditionalFormatting sqref="D224:F373">
    <cfRule type="cellIs" dxfId="44" priority="8" operator="equal">
      <formula>0</formula>
    </cfRule>
  </conditionalFormatting>
  <conditionalFormatting sqref="E1:E3 G1:G115 E6:E15 H12:I12 N13 F14:F15 H14:K115 E166:K166 G166:G223 E167:F167 H167:K167">
    <cfRule type="cellIs" dxfId="43" priority="43" stopIfTrue="1" operator="equal">
      <formula>0</formula>
    </cfRule>
  </conditionalFormatting>
  <conditionalFormatting sqref="E171:E65536">
    <cfRule type="cellIs" dxfId="42" priority="9" stopIfTrue="1" operator="equal">
      <formula>0</formula>
    </cfRule>
  </conditionalFormatting>
  <conditionalFormatting sqref="G224">
    <cfRule type="cellIs" dxfId="41" priority="10" operator="equal">
      <formula>0</formula>
    </cfRule>
  </conditionalFormatting>
  <conditionalFormatting sqref="G225:G65536">
    <cfRule type="cellIs" dxfId="40" priority="14" stopIfTrue="1" operator="equal">
      <formula>0</formula>
    </cfRule>
  </conditionalFormatting>
  <conditionalFormatting sqref="R14:T166 G116:K165">
    <cfRule type="cellIs" dxfId="3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433" activePane="bottomRight" state="frozen"/>
      <selection activeCell="D209" sqref="D209"/>
      <selection pane="topRight" activeCell="D209" sqref="D209"/>
      <selection pane="bottomLeft" activeCell="D209" sqref="D209"/>
      <selection pane="bottomRight" activeCell="C1441" sqref="C144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3" t="s">
        <v>41</v>
      </c>
      <c r="C2" s="56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4" t="s">
        <v>23</v>
      </c>
      <c r="C4" s="565" t="s">
        <v>1012</v>
      </c>
      <c r="D4" s="565" t="s">
        <v>42</v>
      </c>
      <c r="E4" s="564" t="s">
        <v>43</v>
      </c>
      <c r="F4" s="108" t="s">
        <v>1599</v>
      </c>
      <c r="G4" s="108" t="s">
        <v>1598</v>
      </c>
      <c r="H4" s="562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4"/>
      <c r="C5" s="565"/>
      <c r="D5" s="565"/>
      <c r="E5" s="564"/>
      <c r="F5" s="93"/>
      <c r="G5" s="93"/>
      <c r="H5" s="562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6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>IF($I$5=$G$4,G217,(IF($I$5=$F$4,F217,0)))</f>
        <v>205700</v>
      </c>
      <c r="J217" s="163">
        <f>IF(D217="MDU-KD",1,0)</f>
        <v>1</v>
      </c>
      <c r="K217" s="155">
        <f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>IF(L217=0,M217,L217)</f>
        <v>114</v>
      </c>
      <c r="O217" s="155">
        <f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7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>IF($I$5=$G$4,G229,(IF($I$5=$F$4,F229,0)))</f>
        <v>53300</v>
      </c>
      <c r="J229" s="163">
        <f>IF(D229="MDU-KD",1,0)</f>
        <v>1</v>
      </c>
      <c r="K229" s="155">
        <f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>IF(L229=0,M229,L229)</f>
        <v>122</v>
      </c>
      <c r="O229" s="155">
        <f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2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2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2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2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2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2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2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2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2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22"/>
        <v>12700</v>
      </c>
      <c r="J267" s="163">
        <f t="shared" ref="J267:J331" si="23">IF(D267="MDU-KD",1,0)</f>
        <v>0</v>
      </c>
      <c r="K267" s="155">
        <f t="shared" ref="K267:K331" si="2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25">IF(L267=0,M267,L267)</f>
        <v>201227140.79893059</v>
      </c>
      <c r="O267" s="155">
        <f t="shared" ref="O267:O331" si="2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22"/>
        <v>31544.499999999996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22"/>
        <v>10700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22"/>
        <v>13000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22"/>
        <v>14800</v>
      </c>
      <c r="J271" s="163">
        <f t="shared" si="23"/>
        <v>0</v>
      </c>
      <c r="K271" s="155">
        <f t="shared" si="2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5"/>
        <v>201227144.79893059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22"/>
        <v>18900</v>
      </c>
      <c r="J272" s="163">
        <f t="shared" si="23"/>
        <v>0</v>
      </c>
      <c r="K272" s="155">
        <f t="shared" si="2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5"/>
        <v>201227145.79893059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22"/>
        <v>331500</v>
      </c>
      <c r="J273" s="163">
        <f t="shared" si="23"/>
        <v>1</v>
      </c>
      <c r="K273" s="155">
        <f t="shared" si="2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25"/>
        <v>138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22"/>
        <v>402600</v>
      </c>
      <c r="J274" s="163">
        <f t="shared" si="23"/>
        <v>1</v>
      </c>
      <c r="K274" s="155">
        <f t="shared" si="2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25"/>
        <v>139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22"/>
        <v>0</v>
      </c>
      <c r="J275" s="163">
        <f t="shared" si="23"/>
        <v>0</v>
      </c>
      <c r="K275" s="155">
        <f t="shared" si="2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25"/>
        <v>0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22"/>
        <v>0</v>
      </c>
      <c r="J276" s="163">
        <f t="shared" si="23"/>
        <v>0</v>
      </c>
      <c r="K276" s="155">
        <f t="shared" si="2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25"/>
        <v>0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22"/>
        <v>38700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22"/>
        <v>44900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22"/>
        <v>49000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7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>IF($I$5=$G$4,G280,(IF($I$5=$F$4,F280,0)))</f>
        <v>49000</v>
      </c>
      <c r="J280" s="163">
        <f>IF(D280="MDU-KD",1,0)</f>
        <v>0</v>
      </c>
      <c r="K280" s="155">
        <f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>IF(L280=0,M280,L280)</f>
        <v>201227149.79893059</v>
      </c>
      <c r="O280" s="155">
        <f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22"/>
        <v>64300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22"/>
        <v>92500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22"/>
        <v>100800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22"/>
        <v>118100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22"/>
        <v>128800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22"/>
        <v>55600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22"/>
        <v>69300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22"/>
        <v>73300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22"/>
        <v>77000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22"/>
        <v>97000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22"/>
        <v>153400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22"/>
        <v>138500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22"/>
        <v>127000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22"/>
        <v>162600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22"/>
        <v>173800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22"/>
        <v>19200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22"/>
        <v>24400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22"/>
        <v>26200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22"/>
        <v>29100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22"/>
        <v>39500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22"/>
        <v>51500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22"/>
        <v>76500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22"/>
        <v>25600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22"/>
        <v>28600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22"/>
        <v>42400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22"/>
        <v>53500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22"/>
        <v>66800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22"/>
        <v>88000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22"/>
        <v>110900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22"/>
        <v>190300</v>
      </c>
      <c r="J314" s="163">
        <f t="shared" si="23"/>
        <v>0</v>
      </c>
      <c r="K314" s="155">
        <f t="shared" si="2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5"/>
        <v>201227183.79893059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22"/>
        <v>219900</v>
      </c>
      <c r="J315" s="163">
        <f t="shared" si="23"/>
        <v>0</v>
      </c>
      <c r="K315" s="155">
        <f t="shared" si="2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5"/>
        <v>201227184.79893059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22"/>
        <v>176100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5"/>
        <v>201227185.79893059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22"/>
        <v>0</v>
      </c>
      <c r="J317" s="163">
        <f t="shared" si="23"/>
        <v>0</v>
      </c>
      <c r="K317" s="155">
        <f t="shared" si="2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25"/>
        <v>0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22"/>
        <v>0</v>
      </c>
      <c r="J318" s="163">
        <f t="shared" si="23"/>
        <v>0</v>
      </c>
      <c r="K318" s="155">
        <f t="shared" si="2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25"/>
        <v>0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22"/>
        <v>125000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22"/>
        <v>74000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22"/>
        <v>4500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22"/>
        <v>3888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22"/>
        <v>2900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22"/>
        <v>11500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27">IF($I$5=$G$4,G325,(IF($I$5=$F$4,F325,0)))</f>
        <v>6100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27"/>
        <v>58600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27"/>
        <v>15400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27"/>
        <v>5300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27"/>
        <v>8900</v>
      </c>
      <c r="J329" s="163">
        <f t="shared" si="23"/>
        <v>0</v>
      </c>
      <c r="K329" s="155">
        <f t="shared" si="2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5"/>
        <v>201227196.79893059</v>
      </c>
      <c r="O329" s="155">
        <f t="shared" si="2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27"/>
        <v>15800</v>
      </c>
      <c r="J330" s="163">
        <f t="shared" si="23"/>
        <v>0</v>
      </c>
      <c r="K330" s="155">
        <f t="shared" si="2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5"/>
        <v>201227197.79893059</v>
      </c>
      <c r="O330" s="155">
        <f t="shared" si="2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27"/>
        <v>13800</v>
      </c>
      <c r="J331" s="163">
        <f t="shared" si="23"/>
        <v>0</v>
      </c>
      <c r="K331" s="155">
        <f t="shared" si="2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5"/>
        <v>201227198.79893059</v>
      </c>
      <c r="O331" s="155">
        <f t="shared" si="2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27"/>
        <v>18100</v>
      </c>
      <c r="J332" s="163">
        <f t="shared" ref="J332:J395" si="28">IF(D332="MDU-KD",1,0)</f>
        <v>0</v>
      </c>
      <c r="K332" s="155">
        <f t="shared" ref="K332:K395" si="29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30">IF(L332=0,M332,L332)</f>
        <v>201227199.79893059</v>
      </c>
      <c r="O332" s="155">
        <f t="shared" ref="O332:O395" si="31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27"/>
        <v>19800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27"/>
        <v>23100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27"/>
        <v>38500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27"/>
        <v>22900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27"/>
        <v>25000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27"/>
        <v>25000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27"/>
        <v>18400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27"/>
        <v>18400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27"/>
        <v>18400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27"/>
        <v>61300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27"/>
        <v>61300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27"/>
        <v>61300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27"/>
        <v>64500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27"/>
        <v>69000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27"/>
        <v>82500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27"/>
        <v>79800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27"/>
        <v>72100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27"/>
        <v>86800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27"/>
        <v>105600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27"/>
        <v>491900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27"/>
        <v>29555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27"/>
        <v>37200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27"/>
        <v>29600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27"/>
        <v>37144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27"/>
        <v>5700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27"/>
        <v>5700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27"/>
        <v>10700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27"/>
        <v>6200</v>
      </c>
      <c r="J360" s="163">
        <f t="shared" si="28"/>
        <v>0</v>
      </c>
      <c r="K360" s="155">
        <f t="shared" si="2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0"/>
        <v>201227227.79893059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27"/>
        <v>446100</v>
      </c>
      <c r="J361" s="163">
        <f t="shared" si="28"/>
        <v>0</v>
      </c>
      <c r="K361" s="155">
        <f t="shared" si="2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0"/>
        <v>201227228.79893059</v>
      </c>
      <c r="O361" s="155">
        <f t="shared" si="31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27"/>
        <v>45796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0"/>
        <v>201227229.79893059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27"/>
        <v>0</v>
      </c>
      <c r="J363" s="163">
        <f t="shared" si="28"/>
        <v>0</v>
      </c>
      <c r="K363" s="155">
        <f t="shared" si="29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30"/>
        <v>0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27"/>
        <v>0</v>
      </c>
      <c r="J364" s="163">
        <f t="shared" si="28"/>
        <v>0</v>
      </c>
      <c r="K364" s="155">
        <f t="shared" si="29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30"/>
        <v>0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27"/>
        <v>37000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27"/>
        <v>55500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27"/>
        <v>67800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27"/>
        <v>98600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27"/>
        <v>135199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27"/>
        <v>7789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27"/>
        <v>47459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27"/>
        <v>112500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27"/>
        <v>35800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27"/>
        <v>36000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27"/>
        <v>36000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27"/>
        <v>40000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27"/>
        <v>55000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27"/>
        <v>45500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27"/>
        <v>45500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27"/>
        <v>45500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27"/>
        <v>7938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27"/>
        <v>30000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27"/>
        <v>26500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27"/>
        <v>26500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27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27"/>
        <v>33600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32">IF($I$5=$G$4,G390,(IF($I$5=$F$4,F390,0)))</f>
        <v>33600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32"/>
        <v>33600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32"/>
        <v>32600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32"/>
        <v>45000</v>
      </c>
      <c r="J393" s="163">
        <f t="shared" si="28"/>
        <v>0</v>
      </c>
      <c r="K393" s="155">
        <f t="shared" si="2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0"/>
        <v>201227258.79893059</v>
      </c>
      <c r="O393" s="155">
        <f t="shared" si="31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32"/>
        <v>92500</v>
      </c>
      <c r="J394" s="163">
        <f t="shared" si="28"/>
        <v>0</v>
      </c>
      <c r="K394" s="155">
        <f t="shared" si="2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0"/>
        <v>201227259.79893059</v>
      </c>
      <c r="O394" s="155">
        <f t="shared" si="31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32"/>
        <v>67700</v>
      </c>
      <c r="J395" s="163">
        <f t="shared" si="28"/>
        <v>0</v>
      </c>
      <c r="K395" s="155">
        <f t="shared" si="2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0"/>
        <v>201227260.79893059</v>
      </c>
      <c r="O395" s="155">
        <f t="shared" si="31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32"/>
        <v>13100</v>
      </c>
      <c r="J396" s="163">
        <f t="shared" ref="J396:J459" si="33">IF(D396="MDU-KD",1,0)</f>
        <v>0</v>
      </c>
      <c r="K396" s="155">
        <f t="shared" ref="K396:K459" si="34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35">IF(L396=0,M396,L396)</f>
        <v>201227261.79893059</v>
      </c>
      <c r="O396" s="155">
        <f t="shared" ref="O396:O459" si="36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32"/>
        <v>404600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32"/>
        <v>445573.55999999994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32"/>
        <v>89200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32"/>
        <v>95000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32"/>
        <v>15500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32"/>
        <v>37700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32"/>
        <v>28100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32"/>
        <v>22400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32"/>
        <v>15900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32"/>
        <v>22500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32"/>
        <v>36500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32"/>
        <v>10800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32"/>
        <v>13600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32"/>
        <v>17100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32"/>
        <v>32400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32"/>
        <v>40400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32"/>
        <v>283100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32"/>
        <v>380500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32"/>
        <v>559200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32"/>
        <v>41800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32"/>
        <v>120000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32"/>
        <v>120900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32"/>
        <v>78500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32"/>
        <v>85300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32"/>
        <v>107300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32"/>
        <v>112100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32"/>
        <v>75400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32"/>
        <v>23500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32"/>
        <v>26500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32"/>
        <v>34000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32"/>
        <v>49600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32"/>
        <v>56300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32"/>
        <v>33800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32"/>
        <v>40200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32"/>
        <v>46800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32"/>
        <v>9500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32"/>
        <v>185200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32"/>
        <v>175000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32"/>
        <v>30000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32"/>
        <v>49500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32"/>
        <v>120000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32"/>
        <v>4880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32"/>
        <v>1308700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32"/>
        <v>12500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32"/>
        <v>9700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32"/>
        <v>24300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32"/>
        <v>39204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32"/>
        <v>547900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32"/>
        <v>87000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32"/>
        <v>173400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32"/>
        <v>3965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32"/>
        <v>31800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32"/>
        <v>33800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32"/>
        <v>38600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32"/>
        <v>76300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32"/>
        <v>97400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37">IF($I$5=$G$4,G454,(IF($I$5=$F$4,F454,0)))</f>
        <v>4520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37"/>
        <v>7290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37"/>
        <v>4500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37"/>
        <v>106300</v>
      </c>
      <c r="J457" s="163">
        <f t="shared" si="33"/>
        <v>0</v>
      </c>
      <c r="K457" s="155">
        <f t="shared" si="3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5"/>
        <v>201227322.79893059</v>
      </c>
      <c r="O457" s="155">
        <f t="shared" si="36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37"/>
        <v>116800</v>
      </c>
      <c r="J458" s="163">
        <f t="shared" si="33"/>
        <v>0</v>
      </c>
      <c r="K458" s="155">
        <f t="shared" si="3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5"/>
        <v>201227323.79893059</v>
      </c>
      <c r="O458" s="155">
        <f t="shared" si="36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37"/>
        <v>11400</v>
      </c>
      <c r="J459" s="163">
        <f t="shared" si="33"/>
        <v>0</v>
      </c>
      <c r="K459" s="155">
        <f t="shared" si="3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5"/>
        <v>201227324.79893059</v>
      </c>
      <c r="O459" s="155">
        <f t="shared" si="36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37"/>
        <v>29600</v>
      </c>
      <c r="J460" s="163">
        <f t="shared" ref="J460:J523" si="38">IF(D460="MDU-KD",1,0)</f>
        <v>0</v>
      </c>
      <c r="K460" s="155">
        <f t="shared" ref="K460:K523" si="39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40">IF(L460=0,M460,L460)</f>
        <v>201227325.79893059</v>
      </c>
      <c r="O460" s="155">
        <f t="shared" ref="O460:O523" si="41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37"/>
        <v>290142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37"/>
        <v>265680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37"/>
        <v>265680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37"/>
        <v>20898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37"/>
        <v>20700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37"/>
        <v>13600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37"/>
        <v>27900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37"/>
        <v>27815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37"/>
        <v>20800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37"/>
        <v>23936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37"/>
        <v>31590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37"/>
        <v>32500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37"/>
        <v>47300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37"/>
        <v>61560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37"/>
        <v>79056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37"/>
        <v>81984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37"/>
        <v>7320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37"/>
        <v>8784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37"/>
        <v>52704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37"/>
        <v>67344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37"/>
        <v>40000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37"/>
        <v>150000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37"/>
        <v>4212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37"/>
        <v>50000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37"/>
        <v>32500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37"/>
        <v>37500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37"/>
        <v>47800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37"/>
        <v>52500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37"/>
        <v>63500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37"/>
        <v>67500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37"/>
        <v>53000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37"/>
        <v>34000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37"/>
        <v>39500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37"/>
        <v>41900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37"/>
        <v>44400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37"/>
        <v>61800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37"/>
        <v>68600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37"/>
        <v>68600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37"/>
        <v>29600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37"/>
        <v>34500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37"/>
        <v>44800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37"/>
        <v>49500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37"/>
        <v>57690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37"/>
        <v>60300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37"/>
        <v>39900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37"/>
        <v>34500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37"/>
        <v>37000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37"/>
        <v>39500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37"/>
        <v>41900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37"/>
        <v>51100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37"/>
        <v>51800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37"/>
        <v>51800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37"/>
        <v>75420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37"/>
        <v>118440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37"/>
        <v>136980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37"/>
        <v>172350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37"/>
        <v>180000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42">IF($I$5=$G$4,G518,(IF($I$5=$F$4,F518,0)))</f>
        <v>135800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42"/>
        <v>104200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42"/>
        <v>16000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42"/>
        <v>118530</v>
      </c>
      <c r="J521" s="163">
        <f t="shared" si="38"/>
        <v>0</v>
      </c>
      <c r="K521" s="155">
        <f t="shared" si="3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0"/>
        <v>201227386.79893059</v>
      </c>
      <c r="O521" s="155">
        <f t="shared" si="41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42"/>
        <v>3711.24</v>
      </c>
      <c r="J522" s="163">
        <f t="shared" si="38"/>
        <v>0</v>
      </c>
      <c r="K522" s="155">
        <f t="shared" si="3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0"/>
        <v>201227387.79893059</v>
      </c>
      <c r="O522" s="155">
        <f t="shared" si="41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42"/>
        <v>28000</v>
      </c>
      <c r="J523" s="163">
        <f t="shared" si="38"/>
        <v>0</v>
      </c>
      <c r="K523" s="155">
        <f t="shared" si="3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0"/>
        <v>201227388.79893059</v>
      </c>
      <c r="O523" s="155">
        <f t="shared" si="41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42"/>
        <v>33501.866666666669</v>
      </c>
      <c r="J524" s="163">
        <f t="shared" ref="J524:J587" si="43">IF(D524="MDU-KD",1,0)</f>
        <v>0</v>
      </c>
      <c r="K524" s="155">
        <f t="shared" ref="K524:K587" si="44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45">IF(L524=0,M524,L524)</f>
        <v>201227389.79893059</v>
      </c>
      <c r="O524" s="155">
        <f t="shared" ref="O524:O587" si="46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42"/>
        <v>23310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42"/>
        <v>129000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42"/>
        <v>145400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42"/>
        <v>351751.73281450948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42"/>
        <v>250000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42"/>
        <v>485097.76536861184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42"/>
        <v>423009.82499999995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42"/>
        <v>302149.875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42"/>
        <v>335990.66099999991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42"/>
        <v>2300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42"/>
        <v>88000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42"/>
        <v>72400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42"/>
        <v>123500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42"/>
        <v>71000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42"/>
        <v>36000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42"/>
        <v>17820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42"/>
        <v>22900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42"/>
        <v>30800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42"/>
        <v>33900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42"/>
        <v>30800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42"/>
        <v>33900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42"/>
        <v>12510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42"/>
        <v>15500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42"/>
        <v>19500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42"/>
        <v>28400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42"/>
        <v>28314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42"/>
        <v>3510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42"/>
        <v>2100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42"/>
        <v>40000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42"/>
        <v>8550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42"/>
        <v>45000</v>
      </c>
      <c r="J556" s="163">
        <f t="shared" si="43"/>
        <v>0</v>
      </c>
      <c r="K556" s="155">
        <f t="shared" si="4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5"/>
        <v>201227421.79893059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42"/>
        <v>2500</v>
      </c>
      <c r="J557" s="163">
        <f t="shared" si="43"/>
        <v>0</v>
      </c>
      <c r="K557" s="155">
        <f t="shared" si="4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5"/>
        <v>201227422.79893059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42"/>
        <v>2500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5"/>
        <v>201227423.79893059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42"/>
        <v>0</v>
      </c>
      <c r="J559" s="163">
        <f t="shared" si="43"/>
        <v>0</v>
      </c>
      <c r="K559" s="155">
        <f t="shared" si="44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45"/>
        <v>0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42"/>
        <v>0</v>
      </c>
      <c r="J560" s="163">
        <f t="shared" si="43"/>
        <v>0</v>
      </c>
      <c r="K560" s="155">
        <f t="shared" si="44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45"/>
        <v>0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42"/>
        <v>6628600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42"/>
        <v>6628600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42"/>
        <v>6628600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42"/>
        <v>7100700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42"/>
        <v>7100700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42"/>
        <v>7100700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42"/>
        <v>5488400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42"/>
        <v>5488400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42"/>
        <v>5488400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42"/>
        <v>6240400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42"/>
        <v>6240400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42"/>
        <v>6240400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42"/>
        <v>6159100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42"/>
        <v>6159100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42"/>
        <v>6159100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42"/>
        <v>5602900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42"/>
        <v>8046300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42"/>
        <v>8104600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42"/>
        <v>8104600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42"/>
        <v>5819700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42"/>
        <v>5819700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47">IF($I$5=$G$4,G583,(IF($I$5=$F$4,F583,0)))</f>
        <v>3183200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47"/>
        <v>3183200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47"/>
        <v>3789300</v>
      </c>
      <c r="J585" s="163">
        <f t="shared" si="43"/>
        <v>0</v>
      </c>
      <c r="K585" s="155">
        <f t="shared" si="4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5"/>
        <v>201227448.79893059</v>
      </c>
      <c r="O585" s="155">
        <f t="shared" si="46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47"/>
        <v>3269900</v>
      </c>
      <c r="J586" s="163">
        <f t="shared" si="43"/>
        <v>0</v>
      </c>
      <c r="K586" s="155">
        <f t="shared" si="4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5"/>
        <v>201227449.79893059</v>
      </c>
      <c r="O586" s="155">
        <f t="shared" si="46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47"/>
        <v>4656900</v>
      </c>
      <c r="J587" s="163">
        <f t="shared" si="43"/>
        <v>0</v>
      </c>
      <c r="K587" s="155">
        <f t="shared" si="4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5"/>
        <v>201227450.79893059</v>
      </c>
      <c r="O587" s="155">
        <f t="shared" si="46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47"/>
        <v>8149400</v>
      </c>
      <c r="J588" s="163">
        <f t="shared" ref="J588:J651" si="48">IF(D588="MDU-KD",1,0)</f>
        <v>0</v>
      </c>
      <c r="K588" s="155">
        <f t="shared" ref="K588:K651" si="49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50">IF(L588=0,M588,L588)</f>
        <v>201227451.79893059</v>
      </c>
      <c r="O588" s="155">
        <f t="shared" ref="O588:O651" si="51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47"/>
        <v>38800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47"/>
        <v>12500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47"/>
        <v>6100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47"/>
        <v>38718.5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47"/>
        <v>218596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47"/>
        <v>680475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47"/>
        <v>1000000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47"/>
        <v>25100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47"/>
        <v>8900</v>
      </c>
      <c r="J597" s="163">
        <f t="shared" si="48"/>
        <v>0</v>
      </c>
      <c r="K597" s="155">
        <f t="shared" si="4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0"/>
        <v>201227460.79893059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47"/>
        <v>4100</v>
      </c>
      <c r="J598" s="163">
        <f t="shared" si="48"/>
        <v>0</v>
      </c>
      <c r="K598" s="155">
        <f t="shared" si="4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0"/>
        <v>201227461.79893059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0"/>
        <v>201227462.79893059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47"/>
        <v>0</v>
      </c>
      <c r="J600" s="163">
        <f t="shared" si="48"/>
        <v>0</v>
      </c>
      <c r="K600" s="155">
        <f t="shared" si="49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50"/>
        <v>0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47"/>
        <v>0</v>
      </c>
      <c r="J601" s="163">
        <f t="shared" si="48"/>
        <v>0</v>
      </c>
      <c r="K601" s="155">
        <f t="shared" si="49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50"/>
        <v>0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47"/>
        <v>200000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47"/>
        <v>2172500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47"/>
        <v>700000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47"/>
        <v>490000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47"/>
        <v>224000</v>
      </c>
      <c r="J606" s="163">
        <f t="shared" si="48"/>
        <v>0</v>
      </c>
      <c r="K606" s="155">
        <f t="shared" si="49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50"/>
        <v>201227467.79893059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47"/>
        <v>15000</v>
      </c>
      <c r="J607" s="163">
        <f t="shared" si="48"/>
        <v>0</v>
      </c>
      <c r="K607" s="155">
        <f t="shared" si="49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50"/>
        <v>201227468.79893059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47"/>
        <v>1510245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50"/>
        <v>201227469.79893059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47"/>
        <v>0</v>
      </c>
      <c r="J609" s="163">
        <f t="shared" si="48"/>
        <v>0</v>
      </c>
      <c r="K609" s="155">
        <f t="shared" si="49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50"/>
        <v>0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47"/>
        <v>0</v>
      </c>
      <c r="J610" s="163">
        <f t="shared" si="48"/>
        <v>0</v>
      </c>
      <c r="K610" s="155">
        <f t="shared" si="49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50"/>
        <v>0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47"/>
        <v>16226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47"/>
        <v>19947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47"/>
        <v>26711.899999999998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47"/>
        <v>84820.5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47"/>
        <v>33550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47"/>
        <v>16833.560000000001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47"/>
        <v>72742.5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47"/>
        <v>45445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47"/>
        <v>84820.5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47"/>
        <v>53866.659999999996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47"/>
        <v>38499.54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47"/>
        <v>31720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47"/>
        <v>51240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47"/>
        <v>3477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47"/>
        <v>3477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47"/>
        <v>5531.48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47"/>
        <v>15000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47"/>
        <v>154106.74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47"/>
        <v>16226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47"/>
        <v>61732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47"/>
        <v>34299.08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47"/>
        <v>19825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48"/>
        <v>0</v>
      </c>
      <c r="K633" s="155">
        <f t="shared" si="4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0"/>
        <v>201227492.79893059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47"/>
        <v>23180</v>
      </c>
      <c r="J634" s="163">
        <f t="shared" si="48"/>
        <v>0</v>
      </c>
      <c r="K634" s="155">
        <f t="shared" si="4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0"/>
        <v>201227493.79893059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47"/>
        <v>482893.08</v>
      </c>
      <c r="J635" s="163">
        <f t="shared" si="48"/>
        <v>0</v>
      </c>
      <c r="K635" s="155">
        <f t="shared" si="4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0"/>
        <v>201227494.79893059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47"/>
        <v>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47"/>
        <v/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47"/>
        <v/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47"/>
        <v>300000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47"/>
        <v>95147.5</v>
      </c>
      <c r="J640" s="163">
        <f t="shared" si="48"/>
        <v>0</v>
      </c>
      <c r="K640" s="155">
        <f t="shared" si="49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50"/>
        <v>0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47"/>
        <v>74125</v>
      </c>
      <c r="J641" s="163">
        <f t="shared" si="48"/>
        <v>0</v>
      </c>
      <c r="K641" s="155">
        <f t="shared" si="49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50"/>
        <v>0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47"/>
        <v>150000</v>
      </c>
      <c r="J642" s="163">
        <f t="shared" si="48"/>
        <v>0</v>
      </c>
      <c r="K642" s="155">
        <f t="shared" si="49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50"/>
        <v>0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47"/>
        <v>242999.99999999997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47"/>
        <v>1124962.5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47"/>
        <v>5065452.75</v>
      </c>
      <c r="J645" s="163">
        <f t="shared" si="48"/>
        <v>0</v>
      </c>
      <c r="K645" s="155">
        <f t="shared" si="49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50"/>
        <v>201227497.79893059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47"/>
        <v>5065452.75</v>
      </c>
      <c r="J646" s="163">
        <f t="shared" si="48"/>
        <v>0</v>
      </c>
      <c r="K646" s="155">
        <f t="shared" si="49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50"/>
        <v>201227498.79893059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47"/>
        <v>185000</v>
      </c>
      <c r="J647" s="163">
        <f t="shared" si="48"/>
        <v>0</v>
      </c>
      <c r="K647" s="155">
        <f t="shared" si="49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50"/>
        <v>201227499.79893059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47"/>
        <v>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47"/>
        <v>0</v>
      </c>
      <c r="J649" s="163">
        <f t="shared" si="48"/>
        <v>0</v>
      </c>
      <c r="K649" s="155">
        <f t="shared" si="4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0"/>
        <v>0</v>
      </c>
      <c r="O649" s="155">
        <f t="shared" si="51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47"/>
        <v>200000</v>
      </c>
      <c r="J650" s="163">
        <f t="shared" si="48"/>
        <v>0</v>
      </c>
      <c r="K650" s="155">
        <f t="shared" si="49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0"/>
        <v>0</v>
      </c>
      <c r="O650" s="155">
        <f t="shared" si="51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47"/>
        <v>230000</v>
      </c>
      <c r="J651" s="163">
        <f t="shared" si="48"/>
        <v>0</v>
      </c>
      <c r="K651" s="155">
        <f t="shared" si="49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0"/>
        <v>0</v>
      </c>
      <c r="O651" s="155">
        <f t="shared" si="51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47"/>
        <v>55000</v>
      </c>
      <c r="J652" s="163">
        <f t="shared" ref="J652:J715" si="52">IF(D652="MDU-KD",1,0)</f>
        <v>0</v>
      </c>
      <c r="K652" s="155">
        <f t="shared" ref="K652:K715" si="53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54">IF(L652=0,M652,L652)</f>
        <v>0</v>
      </c>
      <c r="O652" s="155">
        <f t="shared" ref="O652:O715" si="55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47"/>
        <v>93000</v>
      </c>
      <c r="J653" s="163">
        <f t="shared" si="52"/>
        <v>0</v>
      </c>
      <c r="K653" s="155">
        <f t="shared" si="53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54"/>
        <v>0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47"/>
        <v>85000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47"/>
        <v>12000</v>
      </c>
      <c r="J656" s="163">
        <f t="shared" si="52"/>
        <v>0</v>
      </c>
      <c r="K656" s="155">
        <f t="shared" si="53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54"/>
        <v>201227500.79893059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47"/>
        <v>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47"/>
        <v>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47"/>
        <v>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47"/>
        <v>19800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47"/>
        <v>20500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47"/>
        <v>27500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47"/>
        <v>14900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47"/>
        <v>33200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47"/>
        <v>35700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47"/>
        <v>33200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47"/>
        <v>37600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47"/>
        <v>33200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47"/>
        <v>39800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47"/>
        <v>29400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47"/>
        <v>35700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47"/>
        <v>30700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47"/>
        <v>22700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47"/>
        <v>19800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47"/>
        <v>19800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47"/>
        <v>20500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47"/>
        <v>20500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47"/>
        <v>27500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47"/>
        <v>27500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47"/>
        <v>22100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47"/>
        <v>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47"/>
        <v>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47"/>
        <v>53200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47"/>
        <v>61300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56">IF($I$5=$G$4,G685,(IF($I$5=$F$4,F685,0)))</f>
        <v>61300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56"/>
        <v>80100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56"/>
        <v>35700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56"/>
        <v>80100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56"/>
        <v>84000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56"/>
        <v>44000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56"/>
        <v>70300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56"/>
        <v>70300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56"/>
        <v>45200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56"/>
        <v>85800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56"/>
        <v>85800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56"/>
        <v>87700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56"/>
        <v>50100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56"/>
        <v>50100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56"/>
        <v>53800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56"/>
        <v>53800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56"/>
        <v>53800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56"/>
        <v>45100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56"/>
        <v>44300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56"/>
        <v>44300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56"/>
        <v>44300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56"/>
        <v>93100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56"/>
        <v>93100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56"/>
        <v>88700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56"/>
        <v>61700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56"/>
        <v>61700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56"/>
        <v>99900</v>
      </c>
      <c r="J713" s="163">
        <f t="shared" si="52"/>
        <v>0</v>
      </c>
      <c r="K713" s="155">
        <f t="shared" si="5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4"/>
        <v>0</v>
      </c>
      <c r="O713" s="155">
        <f t="shared" si="55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56"/>
        <v>99900</v>
      </c>
      <c r="J714" s="163">
        <f t="shared" si="52"/>
        <v>0</v>
      </c>
      <c r="K714" s="155">
        <f t="shared" si="5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4"/>
        <v>0</v>
      </c>
      <c r="O714" s="155">
        <f t="shared" si="55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56"/>
        <v>79500</v>
      </c>
      <c r="J715" s="163">
        <f t="shared" si="52"/>
        <v>0</v>
      </c>
      <c r="K715" s="155">
        <f t="shared" si="5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4"/>
        <v>0</v>
      </c>
      <c r="O715" s="155">
        <f t="shared" si="55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56"/>
        <v>74200</v>
      </c>
      <c r="J716" s="163">
        <f t="shared" ref="J716:J779" si="57">IF(D716="MDU-KD",1,0)</f>
        <v>0</v>
      </c>
      <c r="K716" s="155">
        <f t="shared" ref="K716:K779" si="58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59">IF(L716=0,M716,L716)</f>
        <v>0</v>
      </c>
      <c r="O716" s="155">
        <f t="shared" ref="O716:O779" si="60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56"/>
        <v>87700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56"/>
        <v>112300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56"/>
        <v>87700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56"/>
        <v>129900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56"/>
        <v>127200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56"/>
        <v>116900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56"/>
        <v>123100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56"/>
        <v>111100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56"/>
        <v>129300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56"/>
        <v>259800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56"/>
        <v>264700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56"/>
        <v>173300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56"/>
        <v>279500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56"/>
        <v>106800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56"/>
        <v>122100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56"/>
        <v>130500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56"/>
        <v>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56"/>
        <v>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56"/>
        <v>85500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56"/>
        <v>64700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56"/>
        <v>105500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56"/>
        <v>110000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56"/>
        <v>141700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56"/>
        <v>214400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56"/>
        <v>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56"/>
        <v>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56"/>
        <v>99400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56"/>
        <v>99400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56"/>
        <v>99100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56"/>
        <v>105000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56"/>
        <v>111000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56"/>
        <v>81300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61">IF($I$5=$G$4,G749,(IF($I$5=$F$4,F749,0)))</f>
        <v>84900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61"/>
        <v>94400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61"/>
        <v>106300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61"/>
        <v>104200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61"/>
        <v>104200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61"/>
        <v>132200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61"/>
        <v>121300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61"/>
        <v>82500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61"/>
        <v>106900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61"/>
        <v>109200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61"/>
        <v>96900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61"/>
        <v>128100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61"/>
        <v>104400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61"/>
        <v>214400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61"/>
        <v>122500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61"/>
        <v>134700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61"/>
        <v>158500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61"/>
        <v>103500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61"/>
        <v>108700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61"/>
        <v>111100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61"/>
        <v>254900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61"/>
        <v>197500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61"/>
        <v>261100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61"/>
        <v>197500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61"/>
        <v>218400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61"/>
        <v>222500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61"/>
        <v>173300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61"/>
        <v>279500</v>
      </c>
      <c r="J777" s="163">
        <f t="shared" si="57"/>
        <v>0</v>
      </c>
      <c r="K777" s="155">
        <f t="shared" si="5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59"/>
        <v>0</v>
      </c>
      <c r="O777" s="155">
        <f t="shared" si="60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61"/>
        <v>111200</v>
      </c>
      <c r="J778" s="163">
        <f t="shared" si="57"/>
        <v>0</v>
      </c>
      <c r="K778" s="155">
        <f t="shared" si="5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59"/>
        <v>0</v>
      </c>
      <c r="O778" s="155">
        <f t="shared" si="60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61"/>
        <v>111200</v>
      </c>
      <c r="J779" s="163">
        <f t="shared" si="57"/>
        <v>0</v>
      </c>
      <c r="K779" s="155">
        <f t="shared" si="5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59"/>
        <v>0</v>
      </c>
      <c r="O779" s="155">
        <f t="shared" si="60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61"/>
        <v>89800</v>
      </c>
      <c r="J780" s="163">
        <f t="shared" ref="J780:J843" si="62">IF(D780="MDU-KD",1,0)</f>
        <v>0</v>
      </c>
      <c r="K780" s="155">
        <f t="shared" ref="K780:K843" si="63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64">IF(L780=0,M780,L780)</f>
        <v>0</v>
      </c>
      <c r="O780" s="155">
        <f t="shared" ref="O780:O843" si="65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61"/>
        <v>134800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61"/>
        <v>134800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61"/>
        <v>102600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61"/>
        <v>136300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61"/>
        <v>140800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61"/>
        <v>109700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61"/>
        <v>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61"/>
        <v>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61"/>
        <v>197700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61"/>
        <v>201000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61"/>
        <v>201000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61"/>
        <v>210800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61"/>
        <v>210800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61"/>
        <v>256400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61"/>
        <v>253500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61"/>
        <v>253500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61"/>
        <v>253500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61"/>
        <v>259800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61"/>
        <v>285900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61"/>
        <v>428800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61"/>
        <v>428800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61"/>
        <v>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61"/>
        <v>42800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61"/>
        <v>48100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61"/>
        <v>55300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61"/>
        <v>51500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66">IF($I$5=$G$4,G809,(IF($I$5=$F$4,F809,0)))</f>
        <v>67900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66"/>
        <v>56700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66"/>
        <v>596900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66"/>
        <v>401500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66"/>
        <v>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66"/>
        <v>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61"/>
        <v>56400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61"/>
        <v>65400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61"/>
        <v>16200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61"/>
        <v>21200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61"/>
        <v>173100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61"/>
        <v>1539900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61"/>
        <v>26500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61"/>
        <v>31200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61"/>
        <v>31200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61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61"/>
        <v>48800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67">IF($I$5=$G$4,G827,(IF($I$5=$F$4,F827,0)))</f>
        <v>58400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67"/>
        <v>58400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67"/>
        <v>45900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67"/>
        <v>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67"/>
        <v>68300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67"/>
        <v>48800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67"/>
        <v>3843100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67"/>
        <v>47200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67"/>
        <v>69000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67"/>
        <v>31300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67"/>
        <v>45600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67"/>
        <v>43500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67"/>
        <v>43500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67"/>
        <v>36600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67"/>
        <v>60500</v>
      </c>
      <c r="J841" s="163">
        <f t="shared" si="62"/>
        <v>0</v>
      </c>
      <c r="K841" s="155">
        <f t="shared" si="6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4"/>
        <v>0</v>
      </c>
      <c r="O841" s="155">
        <f t="shared" si="65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67"/>
        <v>60500</v>
      </c>
      <c r="J842" s="163">
        <f t="shared" si="62"/>
        <v>0</v>
      </c>
      <c r="K842" s="155">
        <f t="shared" si="6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4"/>
        <v>0</v>
      </c>
      <c r="O842" s="155">
        <f t="shared" si="65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67"/>
        <v>60500</v>
      </c>
      <c r="J843" s="163">
        <f t="shared" si="62"/>
        <v>0</v>
      </c>
      <c r="K843" s="155">
        <f t="shared" si="6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4"/>
        <v>0</v>
      </c>
      <c r="O843" s="155">
        <f t="shared" si="65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67"/>
        <v>169600</v>
      </c>
      <c r="J844" s="163">
        <f t="shared" ref="J844:J907" si="68">IF(D844="MDU-KD",1,0)</f>
        <v>0</v>
      </c>
      <c r="K844" s="155">
        <f t="shared" ref="K844:K907" si="69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70">IF(L844=0,M844,L844)</f>
        <v>0</v>
      </c>
      <c r="O844" s="155">
        <f t="shared" ref="O844:O907" si="71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67"/>
        <v>169600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67"/>
        <v>64700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67"/>
        <v>55500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67"/>
        <v>55500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67"/>
        <v>762100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67"/>
        <v>14900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67"/>
        <v>614700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67"/>
        <v>829000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67"/>
        <v>179200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67"/>
        <v>14370.766666666666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67"/>
        <v>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67"/>
        <v>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67"/>
        <v>1568200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67"/>
        <v>3467100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67"/>
        <v>3467100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67"/>
        <v>1515700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67"/>
        <v>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67"/>
        <v>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67"/>
        <v>475700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67"/>
        <v>475700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67"/>
        <v>371300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67"/>
        <v>351700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67"/>
        <v>300100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67"/>
        <v>290900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67"/>
        <v>290600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67"/>
        <v>276000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67"/>
        <v>268100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67"/>
        <v>222400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67"/>
        <v>222400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67"/>
        <v>197300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67"/>
        <v>149200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67"/>
        <v>390200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67"/>
        <v>307600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67"/>
        <v>261600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72">IF($I$5=$G$4,G880,(IF($I$5=$F$4,F880,0)))</f>
        <v>198700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72"/>
        <v>272600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72"/>
        <v>243400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72"/>
        <v>179300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72"/>
        <v>151900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72"/>
        <v>136485.10978061482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72"/>
        <v>125481.16630030893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72"/>
        <v>115200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72"/>
        <v>115000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72"/>
        <v>101800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72"/>
        <v>523270.00000000006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72"/>
        <v>523270.00000000006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72"/>
        <v>408430.00000000006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72"/>
        <v>386870.00000000006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72"/>
        <v>330110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72"/>
        <v>319990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72"/>
        <v>319660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72"/>
        <v>271700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72"/>
        <v>303600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72"/>
        <v>294910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72"/>
        <v>244640.00000000003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72"/>
        <v>244640.00000000003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72"/>
        <v>217030.00000000003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72"/>
        <v>164120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72"/>
        <v>429220.00000000006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72"/>
        <v>338360</v>
      </c>
      <c r="J905" s="163">
        <f t="shared" si="68"/>
        <v>0</v>
      </c>
      <c r="K905" s="155">
        <f t="shared" si="6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0"/>
        <v>0</v>
      </c>
      <c r="O905" s="155">
        <f t="shared" si="71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72"/>
        <v>287760</v>
      </c>
      <c r="J906" s="163">
        <f t="shared" si="68"/>
        <v>0</v>
      </c>
      <c r="K906" s="155">
        <f t="shared" si="6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0"/>
        <v>0</v>
      </c>
      <c r="O906" s="155">
        <f t="shared" si="71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72"/>
        <v>218570.00000000003</v>
      </c>
      <c r="J907" s="163">
        <f t="shared" si="68"/>
        <v>0</v>
      </c>
      <c r="K907" s="155">
        <f t="shared" si="6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0"/>
        <v>0</v>
      </c>
      <c r="O907" s="155">
        <f t="shared" si="71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72"/>
        <v>299860</v>
      </c>
      <c r="J908" s="163">
        <f t="shared" ref="J908:J971" si="73">IF(D908="MDU-KD",1,0)</f>
        <v>0</v>
      </c>
      <c r="K908" s="155">
        <f t="shared" ref="K908:K971" si="74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75">IF(L908=0,M908,L908)</f>
        <v>0</v>
      </c>
      <c r="O908" s="155">
        <f t="shared" ref="O908:O971" si="76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72"/>
        <v>267740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72"/>
        <v>197230.00000000003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72"/>
        <v>167090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72"/>
        <v>150133.62075867632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72"/>
        <v>138029.28293033983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72"/>
        <v>126720.00000000001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72"/>
        <v>126500.00000000001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72"/>
        <v>111980.00000000001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72"/>
        <v>382400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72"/>
        <v>662100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72"/>
        <v>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72"/>
        <v>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72"/>
        <v>285500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72"/>
        <v>240000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72"/>
        <v>220800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72"/>
        <v>164300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72"/>
        <v>111700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72"/>
        <v>223500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72"/>
        <v>179000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72"/>
        <v>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72"/>
        <v>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72"/>
        <v>9514000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72"/>
        <v>9514000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72"/>
        <v>7426000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72"/>
        <v>7034000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72"/>
        <v>6002000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72"/>
        <v>5818000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72"/>
        <v>5812000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72"/>
        <v>4940000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72"/>
        <v>5520000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72"/>
        <v>5362000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72"/>
        <v>4448000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72"/>
        <v>4448000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72"/>
        <v>3946000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72"/>
        <v>2984000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72"/>
        <v>7804000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77">IF($I$5=$G$4,G945,(IF($I$5=$F$4,F945,0)))</f>
        <v>6152000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77"/>
        <v>5232000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77"/>
        <v>3974000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77"/>
        <v>5452000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77"/>
        <v>4868000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77"/>
        <v>3586000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77"/>
        <v>3038000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77"/>
        <v>2729702.1956122965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77"/>
        <v>2509623.3260061787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77"/>
        <v>2304000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77"/>
        <v>2300000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77"/>
        <v>2036000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77"/>
        <v>10465400.000000002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77"/>
        <v>10465400.000000002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77"/>
        <v>8168600.0000000009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77"/>
        <v>7737400.0000000009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77"/>
        <v>6602200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77"/>
        <v>6399800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77"/>
        <v>6393200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77"/>
        <v>5434000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77"/>
        <v>4892800.0000000009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77"/>
        <v>4892800.0000000009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77"/>
        <v>4340600.0000000009</v>
      </c>
      <c r="J969" s="163">
        <f t="shared" si="73"/>
        <v>0</v>
      </c>
      <c r="K969" s="155">
        <f t="shared" si="7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5"/>
        <v>0</v>
      </c>
      <c r="O969" s="155">
        <f t="shared" si="76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77"/>
        <v>3282400</v>
      </c>
      <c r="J970" s="163">
        <f t="shared" si="73"/>
        <v>0</v>
      </c>
      <c r="K970" s="155">
        <f t="shared" si="7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5"/>
        <v>0</v>
      </c>
      <c r="O970" s="155">
        <f t="shared" si="76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77"/>
        <v>8584400.0000000019</v>
      </c>
      <c r="J971" s="163">
        <f t="shared" si="73"/>
        <v>0</v>
      </c>
      <c r="K971" s="155">
        <f t="shared" si="7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5"/>
        <v>0</v>
      </c>
      <c r="O971" s="155">
        <f t="shared" si="76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77"/>
        <v>6767200</v>
      </c>
      <c r="J972" s="163">
        <f t="shared" ref="J972:J1035" si="78">IF(D972="MDU-KD",1,0)</f>
        <v>0</v>
      </c>
      <c r="K972" s="155">
        <f t="shared" ref="K972:K1035" si="79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80">IF(L972=0,M972,L972)</f>
        <v>0</v>
      </c>
      <c r="O972" s="155">
        <f t="shared" ref="O972:O1035" si="81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77"/>
        <v>5755200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77"/>
        <v>4371400.0000000009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77"/>
        <v>5997200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77"/>
        <v>5354800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77"/>
        <v>3944600.0000000005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77"/>
        <v>3341800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77"/>
        <v>3002672.4151735264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77"/>
        <v>2760585.6586067965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77"/>
        <v>2534400.0000000005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77"/>
        <v>2530000.0000000005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77"/>
        <v>2239600.0000000005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77"/>
        <v>13242832.628818881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77"/>
        <v>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77"/>
        <v>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77"/>
        <v>5710000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77"/>
        <v>4800000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77"/>
        <v>4416000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77"/>
        <v>3286000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77"/>
        <v>2234000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77"/>
        <v>4470000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77"/>
        <v>3580000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77"/>
        <v>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77"/>
        <v>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77"/>
        <v>355700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77"/>
        <v>346400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77"/>
        <v>571650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82">IF($I$5=$G$4,G999,(IF($I$5=$F$4,F999,0)))</f>
        <v>1182800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82"/>
        <v>2953300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82"/>
        <v>1627400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82"/>
        <v>3686500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82"/>
        <v>3784400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82"/>
        <v>4127900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82"/>
        <v>4540700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82"/>
        <v>614700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82"/>
        <v>829000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82"/>
        <v>0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82"/>
        <v>0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82"/>
        <v>367100.81715813151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82"/>
        <v>367100.81715813151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82"/>
        <v>483136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82"/>
        <v>483136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82"/>
        <v>542850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82"/>
        <v>542850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82"/>
        <v>580849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82"/>
        <v>580849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82"/>
        <v>640563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82"/>
        <v>640563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82"/>
        <v>777904.11254937388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82"/>
        <v>777904.11254937388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82"/>
        <v>776275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82"/>
        <v>776275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82"/>
        <v>852274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82"/>
        <v>852274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82"/>
        <v>1280085.3169734846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82"/>
        <v>1280085.3169734846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82"/>
        <v>901131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82"/>
        <v>901131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82"/>
        <v>928273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82"/>
        <v>928273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82"/>
        <v>1063986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82"/>
        <v>1063986</v>
      </c>
      <c r="J1033" s="163">
        <f t="shared" si="78"/>
        <v>0</v>
      </c>
      <c r="K1033" s="155">
        <f t="shared" si="7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0"/>
        <v>0</v>
      </c>
      <c r="O1033" s="155">
        <f t="shared" si="81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82"/>
        <v>1503365.2512190146</v>
      </c>
      <c r="J1034" s="163">
        <f t="shared" si="78"/>
        <v>0</v>
      </c>
      <c r="K1034" s="155">
        <f t="shared" si="7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0"/>
        <v>0</v>
      </c>
      <c r="O1034" s="155">
        <f t="shared" si="81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82"/>
        <v>1503365.2512190146</v>
      </c>
      <c r="J1035" s="163">
        <f t="shared" si="78"/>
        <v>0</v>
      </c>
      <c r="K1035" s="155">
        <f t="shared" si="7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0"/>
        <v>0</v>
      </c>
      <c r="O1035" s="155">
        <f t="shared" si="81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82"/>
        <v>0</v>
      </c>
      <c r="J1036" s="163">
        <f t="shared" ref="J1036:J1099" si="83">IF(D1036="MDU-KD",1,0)</f>
        <v>0</v>
      </c>
      <c r="K1036" s="155">
        <f t="shared" ref="K1036:K1099" si="84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85">IF(L1036=0,M1036,L1036)</f>
        <v>0</v>
      </c>
      <c r="O1036" s="155">
        <f t="shared" ref="O1036:O1099" si="86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82"/>
        <v>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82"/>
        <v>13800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82"/>
        <v>12700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82"/>
        <v>1570000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82"/>
        <v>1255000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82"/>
        <v>700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82"/>
        <v>1700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82"/>
        <v>33700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82"/>
        <v>20100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82"/>
        <v>4566.666666666667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82"/>
        <v>1300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82"/>
        <v>2600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82"/>
        <v>6300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82"/>
        <v>6900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82"/>
        <v>8600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82"/>
        <v>162200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82"/>
        <v>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82"/>
        <v>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82"/>
        <v>25000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82"/>
        <v>60300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82"/>
        <v>54400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82"/>
        <v>106400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82"/>
        <v>798700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87">IF($I$5=$G$4,G1060,(IF($I$5=$F$4,F1060,0)))</f>
        <v>1641700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87"/>
        <v>39800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87"/>
        <v>78000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87"/>
        <v>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87"/>
        <v>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87"/>
        <v>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87"/>
        <v>11880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87"/>
        <v>12300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87"/>
        <v>16500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87"/>
        <v>8940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87"/>
        <v>15060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87"/>
        <v>17820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87"/>
        <v>15060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87"/>
        <v>22560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87"/>
        <v>15060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87"/>
        <v>23880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87"/>
        <v>13320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87"/>
        <v>18180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87"/>
        <v>13920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87"/>
        <v>10320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87"/>
        <v>11880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87"/>
        <v>11880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87"/>
        <v>12300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87"/>
        <v>12300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87"/>
        <v>16500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87"/>
        <v>16500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87"/>
        <v>13260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87"/>
        <v>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87"/>
        <v>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87"/>
        <v>31920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87"/>
        <v>31920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87"/>
        <v>31920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87"/>
        <v>48060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87"/>
        <v>16200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87"/>
        <v>48060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87"/>
        <v>50400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87"/>
        <v>26400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87"/>
        <v>42180</v>
      </c>
      <c r="J1097" s="163">
        <f t="shared" si="83"/>
        <v>0</v>
      </c>
      <c r="K1097" s="155">
        <f t="shared" si="8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5"/>
        <v>0</v>
      </c>
      <c r="O1097" s="155">
        <f t="shared" si="86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87"/>
        <v>42180</v>
      </c>
      <c r="J1098" s="163">
        <f t="shared" si="83"/>
        <v>0</v>
      </c>
      <c r="K1098" s="155">
        <f t="shared" si="8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5"/>
        <v>0</v>
      </c>
      <c r="O1098" s="155">
        <f t="shared" si="86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87"/>
        <v>27120</v>
      </c>
      <c r="J1099" s="163">
        <f t="shared" si="83"/>
        <v>0</v>
      </c>
      <c r="K1099" s="155">
        <f t="shared" si="8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5"/>
        <v>0</v>
      </c>
      <c r="O1099" s="155">
        <f t="shared" si="86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87"/>
        <v>46800</v>
      </c>
      <c r="J1100" s="163">
        <f t="shared" ref="J1100:J1163" si="88">IF(D1100="MDU-KD",1,0)</f>
        <v>0</v>
      </c>
      <c r="K1100" s="155">
        <f t="shared" ref="K1100:K1163" si="89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90">IF(L1100=0,M1100,L1100)</f>
        <v>0</v>
      </c>
      <c r="O1100" s="155">
        <f t="shared" ref="O1100:O1163" si="91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87"/>
        <v>46800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87"/>
        <v>45240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87"/>
        <v>22740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87"/>
        <v>22740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87"/>
        <v>24420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87"/>
        <v>24420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87"/>
        <v>24420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87"/>
        <v>21720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87"/>
        <v>20100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87"/>
        <v>20100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87"/>
        <v>20100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87"/>
        <v>42240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87"/>
        <v>42240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87"/>
        <v>40260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87"/>
        <v>28020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87"/>
        <v>28020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87"/>
        <v>45360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87"/>
        <v>45360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87"/>
        <v>36060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87"/>
        <v>33660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87"/>
        <v>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92">IF($I$5=$G$4,G1124,(IF($I$5=$F$4,F1124,0)))</f>
        <v>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92"/>
        <v>38820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92"/>
        <v>38820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92"/>
        <v>47880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92"/>
        <v>49920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92"/>
        <v>64260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92"/>
        <v>110640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92"/>
        <v>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92"/>
        <v>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92"/>
        <v>45120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92"/>
        <v>45120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92"/>
        <v>44940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92"/>
        <v>47640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92"/>
        <v>50340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92"/>
        <v>43860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92"/>
        <v>50940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92"/>
        <v>50940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92"/>
        <v>48240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92"/>
        <v>47280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92"/>
        <v>59940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92"/>
        <v>55080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92"/>
        <v>44640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92"/>
        <v>58920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92"/>
        <v>58920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92"/>
        <v>58140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92"/>
        <v>58140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92"/>
        <v>56340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92"/>
        <v>105060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92"/>
        <v>57540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92"/>
        <v>61080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92"/>
        <v>71880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92"/>
        <v>61080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92"/>
        <v>55860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92"/>
        <v>58680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92"/>
        <v>115680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92"/>
        <v>118500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92"/>
        <v>118500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92"/>
        <v>117900</v>
      </c>
      <c r="J1161" s="163">
        <f t="shared" si="88"/>
        <v>0</v>
      </c>
      <c r="K1161" s="155">
        <f t="shared" si="8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0"/>
        <v>0</v>
      </c>
      <c r="O1161" s="155">
        <f t="shared" si="91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92"/>
        <v>120120</v>
      </c>
      <c r="J1162" s="163">
        <f t="shared" si="88"/>
        <v>0</v>
      </c>
      <c r="K1162" s="155">
        <f t="shared" si="8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0"/>
        <v>0</v>
      </c>
      <c r="O1162" s="155">
        <f t="shared" si="91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92"/>
        <v>50460</v>
      </c>
      <c r="J1163" s="163">
        <f t="shared" si="88"/>
        <v>0</v>
      </c>
      <c r="K1163" s="155">
        <f t="shared" si="8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0"/>
        <v>0</v>
      </c>
      <c r="O1163" s="155">
        <f t="shared" si="91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92"/>
        <v>50460</v>
      </c>
      <c r="J1164" s="163">
        <f t="shared" ref="J1164:J1227" si="93">IF(D1164="MDU-KD",1,0)</f>
        <v>0</v>
      </c>
      <c r="K1164" s="155">
        <f t="shared" ref="K1164:K1227" si="94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95">IF(L1164=0,M1164,L1164)</f>
        <v>0</v>
      </c>
      <c r="O1164" s="155">
        <f t="shared" ref="O1164:O1227" si="96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92"/>
        <v>41400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92"/>
        <v>61140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92"/>
        <v>61140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92"/>
        <v>55380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92"/>
        <v>61860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92"/>
        <v>63900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92"/>
        <v>59220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92"/>
        <v>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92"/>
        <v>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92"/>
        <v>89700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92"/>
        <v>91200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92"/>
        <v>95640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92"/>
        <v>95640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92"/>
        <v>116340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92"/>
        <v>115020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92"/>
        <v>115020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92"/>
        <v>115020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92"/>
        <v>117900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92"/>
        <v>136860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92"/>
        <v>220920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92"/>
        <v>220920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92"/>
        <v>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92"/>
        <v>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97">IF($I$5=$G$4,G1188,(IF($I$5=$F$4,F1188,0)))</f>
        <v>19440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97"/>
        <v>28860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97"/>
        <v>33180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97"/>
        <v>30900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97"/>
        <v>40740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97"/>
        <v>34020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97"/>
        <v>358140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97"/>
        <v>240900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97"/>
        <v>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97"/>
        <v>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97"/>
        <v>33840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97"/>
        <v>39240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97"/>
        <v>7320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97"/>
        <v>9600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97"/>
        <v>103860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97"/>
        <v>923940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97"/>
        <v>12060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97"/>
        <v>14160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97"/>
        <v>14160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97"/>
        <v>35040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97"/>
        <v>35040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97"/>
        <v>25860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97"/>
        <v>30960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97"/>
        <v>25860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97"/>
        <v>2305860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97"/>
        <v>18780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97"/>
        <v>27360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97"/>
        <v>18780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97"/>
        <v>27360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97"/>
        <v>18720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97"/>
        <v>18720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97"/>
        <v>18720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97"/>
        <v>25260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97"/>
        <v>25260</v>
      </c>
      <c r="J1225" s="163">
        <f t="shared" si="93"/>
        <v>0</v>
      </c>
      <c r="K1225" s="155">
        <f t="shared" si="9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5"/>
        <v>0</v>
      </c>
      <c r="O1225" s="155">
        <f t="shared" si="96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97"/>
        <v>22860</v>
      </c>
      <c r="J1226" s="163">
        <f t="shared" si="93"/>
        <v>0</v>
      </c>
      <c r="K1226" s="155">
        <f t="shared" si="9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5"/>
        <v>0</v>
      </c>
      <c r="O1226" s="155">
        <f t="shared" si="96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97"/>
        <v>74340</v>
      </c>
      <c r="J1227" s="163">
        <f t="shared" si="93"/>
        <v>0</v>
      </c>
      <c r="K1227" s="155">
        <f t="shared" si="9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5"/>
        <v>0</v>
      </c>
      <c r="O1227" s="155">
        <f t="shared" si="96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97"/>
        <v>74340</v>
      </c>
      <c r="J1228" s="163">
        <f t="shared" ref="J1228:J1291" si="98">IF(D1228="MDU-KD",1,0)</f>
        <v>0</v>
      </c>
      <c r="K1228" s="155">
        <f t="shared" ref="K1228:K1291" si="99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00">IF(L1228=0,M1228,L1228)</f>
        <v>0</v>
      </c>
      <c r="O1228" s="155">
        <f t="shared" ref="O1228:O1291" si="101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97"/>
        <v>27540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97"/>
        <v>21480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97"/>
        <v>25560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97"/>
        <v>457260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97"/>
        <v>6360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97"/>
        <v>368820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97"/>
        <v>497400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97"/>
        <v>107520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97"/>
        <v>8622.4599999999991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97"/>
        <v>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97"/>
        <v>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97"/>
        <v>940920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97"/>
        <v>2080260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97"/>
        <v>2080260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97"/>
        <v>909420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97"/>
        <v>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97"/>
        <v>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97"/>
        <v>285420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97"/>
        <v>285420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97"/>
        <v>222780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97"/>
        <v>211020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97"/>
        <v>180060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97"/>
        <v>174540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97"/>
        <v>174360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02">IF($I$5=$G$4,G1253,(IF($I$5=$F$4,F1253,0)))</f>
        <v>148200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02"/>
        <v>165600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02"/>
        <v>160860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02"/>
        <v>133440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02"/>
        <v>133440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02"/>
        <v>118380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02"/>
        <v>89520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02"/>
        <v>234120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02"/>
        <v>184560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02"/>
        <v>156960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02"/>
        <v>119220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02"/>
        <v>163560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02"/>
        <v>146040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02"/>
        <v>107580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02"/>
        <v>91140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02"/>
        <v>81891.065868368882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02"/>
        <v>75288.699780185358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02"/>
        <v>69120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02"/>
        <v>69000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02"/>
        <v>61080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02"/>
        <v>313962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02"/>
        <v>313962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02"/>
        <v>245058.00000000003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02"/>
        <v>232122.00000000003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02"/>
        <v>198066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02"/>
        <v>191994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02"/>
        <v>191796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02"/>
        <v>163020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02"/>
        <v>182160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02"/>
        <v>146784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02"/>
        <v>146784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02"/>
        <v>130218.00000000001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02"/>
        <v>98472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02"/>
        <v>257532.00000000003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02"/>
        <v>203016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02"/>
        <v>172656</v>
      </c>
      <c r="J1289" s="163">
        <f t="shared" si="98"/>
        <v>0</v>
      </c>
      <c r="K1289" s="155">
        <f t="shared" si="9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0"/>
        <v>0</v>
      </c>
      <c r="O1289" s="155">
        <f t="shared" si="101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02"/>
        <v>131142</v>
      </c>
      <c r="J1290" s="163">
        <f t="shared" si="98"/>
        <v>0</v>
      </c>
      <c r="K1290" s="155">
        <f t="shared" si="9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0"/>
        <v>0</v>
      </c>
      <c r="O1290" s="155">
        <f t="shared" si="101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02"/>
        <v>179916</v>
      </c>
      <c r="J1291" s="163">
        <f t="shared" si="98"/>
        <v>0</v>
      </c>
      <c r="K1291" s="155">
        <f t="shared" si="9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0"/>
        <v>0</v>
      </c>
      <c r="O1291" s="155">
        <f t="shared" si="101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02"/>
        <v>160644</v>
      </c>
      <c r="J1292" s="163">
        <f t="shared" ref="J1292:J1355" si="103">IF(D1292="MDU-KD",1,0)</f>
        <v>0</v>
      </c>
      <c r="K1292" s="155">
        <f t="shared" ref="K1292:K1355" si="104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05">IF(L1292=0,M1292,L1292)</f>
        <v>0</v>
      </c>
      <c r="O1292" s="155">
        <f t="shared" ref="O1292:O1355" si="106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02"/>
        <v>118338.00000000001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02"/>
        <v>100254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02"/>
        <v>90080.172455205786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02"/>
        <v>82817.569758203899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02"/>
        <v>76032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02"/>
        <v>75900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02"/>
        <v>67188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02"/>
        <v>397284.97886456642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02"/>
        <v>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02"/>
        <v>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02"/>
        <v>171300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02"/>
        <v>144000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02"/>
        <v>132480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02"/>
        <v>98580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02"/>
        <v>67020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02"/>
        <v>134100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02"/>
        <v>107400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02"/>
        <v>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02"/>
        <v>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02"/>
        <v>5708400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02"/>
        <v>5708400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02"/>
        <v>4455600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02"/>
        <v>4220400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02"/>
        <v>3601200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02"/>
        <v>3490800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07">IF($I$5=$G$4,G1319,(IF($I$5=$F$4,F1319,0)))</f>
        <v>2964000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07"/>
        <v>3312000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07"/>
        <v>3217200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07"/>
        <v>2668800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07"/>
        <v>2668800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07"/>
        <v>2367600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07"/>
        <v>1790400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07"/>
        <v>4682400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07"/>
        <v>3691200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07"/>
        <v>3139200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07"/>
        <v>2384400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07"/>
        <v>3271200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07"/>
        <v>2920800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07"/>
        <v>2151600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07"/>
        <v>1822800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07"/>
        <v>1637821.3173673779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07"/>
        <v>1505773.9956037072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07"/>
        <v>1382400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07"/>
        <v>1380000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07"/>
        <v>1221600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07"/>
        <v>6279240.0000000009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07"/>
        <v>6279240.0000000009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07"/>
        <v>4901160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07"/>
        <v>4642440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07"/>
        <v>3961320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07"/>
        <v>3839880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07"/>
        <v>3835920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07"/>
        <v>3260400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07"/>
        <v>3643200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07"/>
        <v>3538920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07"/>
        <v>2935680.0000000005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07"/>
        <v>2935680.0000000005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07"/>
        <v>2604360.0000000005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07"/>
        <v>1969440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07"/>
        <v>5150640.0000000009</v>
      </c>
      <c r="J1353" s="163">
        <f t="shared" si="103"/>
        <v>0</v>
      </c>
      <c r="K1353" s="155">
        <f t="shared" si="10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5"/>
        <v>0</v>
      </c>
      <c r="O1353" s="155">
        <f t="shared" si="106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07"/>
        <v>4060320</v>
      </c>
      <c r="J1354" s="163">
        <f t="shared" si="103"/>
        <v>0</v>
      </c>
      <c r="K1354" s="155">
        <f t="shared" si="10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5"/>
        <v>0</v>
      </c>
      <c r="O1354" s="155">
        <f t="shared" si="106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07"/>
        <v>3453120</v>
      </c>
      <c r="J1355" s="163">
        <f t="shared" si="103"/>
        <v>0</v>
      </c>
      <c r="K1355" s="155">
        <f t="shared" si="10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5"/>
        <v>0</v>
      </c>
      <c r="O1355" s="155">
        <f t="shared" si="106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07"/>
        <v>2622840.0000000005</v>
      </c>
      <c r="J1356" s="163">
        <f t="shared" ref="J1356:J1419" si="108">IF(D1356="MDU-KD",1,0)</f>
        <v>0</v>
      </c>
      <c r="K1356" s="155">
        <f t="shared" ref="K1356:K1419" si="109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10">IF(L1356=0,M1356,L1356)</f>
        <v>0</v>
      </c>
      <c r="O1356" s="155">
        <f t="shared" ref="O1356:O1419" si="111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07"/>
        <v>3598320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07"/>
        <v>3212880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07"/>
        <v>1801603.4491041158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07"/>
        <v>1656351.3951640779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07"/>
        <v>1520640.0000000002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07"/>
        <v>1518000.0000000002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07"/>
        <v>1343760.0000000002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07"/>
        <v>7945699.5772913285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07"/>
        <v>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07"/>
        <v>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07"/>
        <v>3426000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07"/>
        <v>2880000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07"/>
        <v>2649600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07"/>
        <v>1971600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07"/>
        <v>1340400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07"/>
        <v>2682000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07"/>
        <v>2148000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07"/>
        <v>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07"/>
        <v>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07"/>
        <v>213420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07"/>
        <v>207840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07"/>
        <v>342990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07"/>
        <v>709680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07"/>
        <v>1771980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07"/>
        <v>976440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07"/>
        <v>2211900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12">IF($I$5=$G$4,G1385,(IF($I$5=$F$4,F1385,0)))</f>
        <v>2270640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12"/>
        <v>2476740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12"/>
        <v>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12"/>
        <v>0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12"/>
        <v>220260.49029487889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12"/>
        <v>220260.49029487889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12"/>
        <v>250977.08928157968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12"/>
        <v>289200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12"/>
        <v>277947.76156258525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12"/>
        <v>309000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12"/>
        <v>277947.76156258525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12"/>
        <v>345600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12"/>
        <v>438273.42456634069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12"/>
        <v>384600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13">IF($I$5=$G$4,G1399,(IF($I$5=$F$4,F1399,0)))</f>
        <v>466742.46752962429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13"/>
        <v>466742.46752962429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13"/>
        <v>513941.14402138407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13"/>
        <v>502200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13"/>
        <v>580618.63938275899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13"/>
        <v>522000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13"/>
        <v>768051.19018409075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13"/>
        <v>768051.19018409075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13"/>
        <v>755996.11696758063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13"/>
        <v>589800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13"/>
        <v>832055.45603276498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13"/>
        <v>636000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13"/>
        <v>842833.50878142437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13"/>
        <v>762000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13"/>
        <v>902019.15073140874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13"/>
        <v>902019.15073140874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13"/>
        <v>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13"/>
        <v>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13"/>
        <v>96180</v>
      </c>
      <c r="J1417" s="163">
        <f t="shared" si="108"/>
        <v>0</v>
      </c>
      <c r="K1417" s="155">
        <f t="shared" si="10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0"/>
        <v>0</v>
      </c>
      <c r="O1417" s="155">
        <f t="shared" si="111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13"/>
        <v>257820</v>
      </c>
      <c r="J1418" s="163">
        <f t="shared" si="108"/>
        <v>0</v>
      </c>
      <c r="K1418" s="155">
        <f t="shared" si="10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0"/>
        <v>0</v>
      </c>
      <c r="O1418" s="155">
        <f t="shared" si="111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13"/>
        <v>299160</v>
      </c>
      <c r="J1419" s="163">
        <f t="shared" si="108"/>
        <v>0</v>
      </c>
      <c r="K1419" s="155">
        <f t="shared" si="10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0"/>
        <v>0</v>
      </c>
      <c r="O1419" s="155">
        <f t="shared" si="111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13"/>
        <v>246960</v>
      </c>
      <c r="J1420" s="163">
        <f t="shared" ref="J1420:J1457" si="114">IF(D1420="MDU-KD",1,0)</f>
        <v>0</v>
      </c>
      <c r="K1420" s="155">
        <f t="shared" ref="K1420:K1457" si="115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16">IF(L1420=0,M1420,L1420)</f>
        <v>0</v>
      </c>
      <c r="O1420" s="155">
        <f t="shared" ref="O1420:O1457" si="117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13"/>
        <v>286461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13"/>
        <v>300600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13"/>
        <v>358140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13"/>
        <v>341777.99941898551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13"/>
        <v>395879.58401850733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13"/>
        <v>6240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13"/>
        <v>5760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13"/>
        <v>337284.9788645666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13"/>
        <v>269827.98309165332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13"/>
        <v>420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13"/>
        <v>720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13"/>
        <v>15300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13"/>
        <v>9120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13"/>
        <v>2740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18">IF($I$5=$G$4,G1437,(IF($I$5=$F$4,F1437,0)))</f>
        <v>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18"/>
        <v>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18"/>
        <v>15000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18"/>
        <v>36180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18"/>
        <v>32640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18"/>
        <v>63840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19">IF($I$5=$G$4,G1443,(IF($I$5=$F$4,F1443,0)))</f>
        <v>450000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19"/>
        <v>985020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19"/>
        <v>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19"/>
        <v>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19"/>
        <v>2.5000000000000001E-2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19"/>
        <v>800000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19"/>
        <v>300000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19"/>
        <v>300000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19"/>
        <v>57250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19"/>
        <v>13770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19"/>
        <v>29730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19"/>
        <v>250000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19"/>
        <v>54500</v>
      </c>
      <c r="J1455" s="163">
        <f t="shared" si="114"/>
        <v>0</v>
      </c>
      <c r="K1455" s="155">
        <f t="shared" si="11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6"/>
        <v>0</v>
      </c>
      <c r="O1455" s="155">
        <f t="shared" si="117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19"/>
        <v>816100</v>
      </c>
      <c r="J1456" s="163">
        <f t="shared" si="114"/>
        <v>0</v>
      </c>
      <c r="K1456" s="155">
        <f t="shared" si="11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6"/>
        <v>0</v>
      </c>
      <c r="O1456" s="155">
        <f t="shared" si="117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19"/>
        <v>601800</v>
      </c>
      <c r="J1457" s="163">
        <f t="shared" si="114"/>
        <v>0</v>
      </c>
      <c r="K1457" s="155">
        <f t="shared" si="11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16"/>
        <v>0</v>
      </c>
      <c r="O1457" s="155">
        <f t="shared" si="117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19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19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19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19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19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19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19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19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19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19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19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19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19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19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19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19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19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19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19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19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19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19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19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19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19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19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19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19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19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19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19"/>
        <v>12000</v>
      </c>
    </row>
    <row r="1497" spans="2:9" ht="15" customHeight="1">
      <c r="I1497" s="88">
        <f t="shared" si="119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8" priority="4" operator="equal">
      <formula>0</formula>
    </cfRule>
  </conditionalFormatting>
  <conditionalFormatting sqref="B217 D217:G217">
    <cfRule type="cellIs" dxfId="37" priority="11" operator="equal">
      <formula>0</formula>
    </cfRule>
  </conditionalFormatting>
  <conditionalFormatting sqref="B8:C135">
    <cfRule type="cellIs" dxfId="36" priority="66" operator="equal">
      <formula>0</formula>
    </cfRule>
  </conditionalFormatting>
  <conditionalFormatting sqref="B216:G216">
    <cfRule type="cellIs" dxfId="35" priority="16" operator="equal">
      <formula>0</formula>
    </cfRule>
  </conditionalFormatting>
  <conditionalFormatting sqref="B218:G1496">
    <cfRule type="cellIs" dxfId="34" priority="1" operator="equal">
      <formula>0</formula>
    </cfRule>
  </conditionalFormatting>
  <conditionalFormatting sqref="C143:G149">
    <cfRule type="cellIs" dxfId="33" priority="20" operator="equal">
      <formula>0</formula>
    </cfRule>
  </conditionalFormatting>
  <conditionalFormatting sqref="D9:G142">
    <cfRule type="cellIs" dxfId="32" priority="26" operator="equal">
      <formula>0</formula>
    </cfRule>
  </conditionalFormatting>
  <conditionalFormatting sqref="D1:IV5 A1:C7 D6:K6 H1458:IV1460 H1461:XFD1488 H1489:H1496 I1489:XFD1497 A1497:H1497 A1498:XFD65539">
    <cfRule type="cellIs" dxfId="31" priority="178" operator="equal">
      <formula>0</formula>
    </cfRule>
  </conditionalFormatting>
  <conditionalFormatting sqref="D7:IV8 C136:C142 B136:B149 B150:G213 B214:B215 D214:G215">
    <cfRule type="cellIs" dxfId="30" priority="77" operator="equal">
      <formula>0</formula>
    </cfRule>
  </conditionalFormatting>
  <conditionalFormatting sqref="H9:H1421">
    <cfRule type="cellIs" dxfId="29" priority="3" operator="equal">
      <formula>0</formula>
    </cfRule>
  </conditionalFormatting>
  <conditionalFormatting sqref="H1422:I1457">
    <cfRule type="cellIs" dxfId="28" priority="143" operator="equal">
      <formula>0</formula>
    </cfRule>
  </conditionalFormatting>
  <conditionalFormatting sqref="I108:I1421">
    <cfRule type="cellIs" dxfId="27" priority="2" operator="equal">
      <formula>0</formula>
    </cfRule>
  </conditionalFormatting>
  <conditionalFormatting sqref="I9:IV107">
    <cfRule type="cellIs" dxfId="26" priority="153" operator="equal">
      <formula>0</formula>
    </cfRule>
  </conditionalFormatting>
  <conditionalFormatting sqref="J108:IV1457">
    <cfRule type="cellIs" dxfId="25" priority="5" operator="equal">
      <formula>0</formula>
    </cfRule>
  </conditionalFormatting>
  <conditionalFormatting sqref="M6:IV6">
    <cfRule type="cellIs" dxfId="24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6" zoomScale="55" zoomScaleNormal="55" zoomScaleSheetLayoutView="85" workbookViewId="0">
      <selection activeCell="K14" sqref="K14:L1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70" t="s">
        <v>1453</v>
      </c>
      <c r="C2" s="570"/>
      <c r="D2" s="570"/>
      <c r="E2" s="570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75" t="s">
        <v>1528</v>
      </c>
      <c r="C4" s="576"/>
      <c r="D4" s="576"/>
      <c r="E4" s="577"/>
      <c r="F4" s="372"/>
      <c r="G4" s="372"/>
      <c r="H4" s="373"/>
      <c r="I4" s="602" t="s">
        <v>1529</v>
      </c>
      <c r="J4" s="603"/>
      <c r="K4" s="603"/>
      <c r="L4" s="604"/>
    </row>
    <row r="5" spans="1:12" ht="34.5" customHeight="1">
      <c r="A5" s="193"/>
      <c r="B5" s="375" t="s">
        <v>1378</v>
      </c>
      <c r="C5" s="224" t="s">
        <v>9</v>
      </c>
      <c r="D5" s="571" t="str">
        <f>DATA!D14</f>
        <v>PD ALI MUHMUDI 23-66KVA</v>
      </c>
      <c r="E5" s="572"/>
      <c r="F5" s="197"/>
      <c r="G5" s="197"/>
      <c r="I5" s="376" t="s">
        <v>1378</v>
      </c>
      <c r="J5" s="224" t="s">
        <v>9</v>
      </c>
      <c r="K5" s="605" t="str">
        <f>D5</f>
        <v>PD ALI MUHMUDI 23-66KVA</v>
      </c>
      <c r="L5" s="606"/>
    </row>
    <row r="6" spans="1:12" ht="31.5" customHeight="1">
      <c r="A6" s="193"/>
      <c r="B6" s="375" t="s">
        <v>1525</v>
      </c>
      <c r="C6" s="224" t="s">
        <v>9</v>
      </c>
      <c r="D6" s="580">
        <f>DATA!D17*1000</f>
        <v>23000</v>
      </c>
      <c r="E6" s="581"/>
      <c r="F6" s="197"/>
      <c r="G6" s="197"/>
      <c r="I6" s="376" t="s">
        <v>1526</v>
      </c>
      <c r="J6" s="224" t="s">
        <v>9</v>
      </c>
      <c r="K6" s="607">
        <f>DATA!D20*1000</f>
        <v>66000</v>
      </c>
      <c r="L6" s="608"/>
    </row>
    <row r="7" spans="1:12" ht="30.75" customHeight="1">
      <c r="A7" s="193"/>
      <c r="B7" s="375" t="s">
        <v>1440</v>
      </c>
      <c r="C7" s="224" t="s">
        <v>9</v>
      </c>
      <c r="D7" s="578">
        <f>DATA!D18</f>
        <v>3</v>
      </c>
      <c r="E7" s="579"/>
      <c r="F7" s="374" t="s">
        <v>1452</v>
      </c>
      <c r="I7" s="376" t="s">
        <v>1440</v>
      </c>
      <c r="J7" s="224" t="s">
        <v>9</v>
      </c>
      <c r="K7" s="609">
        <f>DATA!D21</f>
        <v>3</v>
      </c>
      <c r="L7" s="610"/>
    </row>
    <row r="8" spans="1:12" ht="51" customHeight="1">
      <c r="A8" s="193"/>
      <c r="B8" s="375" t="s">
        <v>1441</v>
      </c>
      <c r="C8" s="224" t="s">
        <v>9</v>
      </c>
      <c r="D8" s="578">
        <f>DATA!D19</f>
        <v>380</v>
      </c>
      <c r="E8" s="579"/>
      <c r="F8" s="374" t="s">
        <v>1452</v>
      </c>
      <c r="G8" s="369">
        <v>220</v>
      </c>
      <c r="I8" s="376" t="s">
        <v>1441</v>
      </c>
      <c r="J8" s="224" t="s">
        <v>9</v>
      </c>
      <c r="K8" s="609">
        <f>DATA!D22</f>
        <v>380</v>
      </c>
      <c r="L8" s="610"/>
    </row>
    <row r="9" spans="1:12" ht="30" customHeight="1" thickBot="1">
      <c r="A9" s="193"/>
      <c r="B9" s="381" t="s">
        <v>1537</v>
      </c>
      <c r="C9" s="371" t="s">
        <v>9</v>
      </c>
      <c r="D9" s="573">
        <f>IF(D7=1,D6/(380/3^0.5),(D6/(380*3^0.5)))</f>
        <v>34.94488471410893</v>
      </c>
      <c r="E9" s="574"/>
      <c r="F9" s="196"/>
      <c r="G9" s="370">
        <v>380</v>
      </c>
      <c r="I9" s="382" t="s">
        <v>1537</v>
      </c>
      <c r="J9" s="371" t="s">
        <v>9</v>
      </c>
      <c r="K9" s="611">
        <f>IF(K7=1,K6/(380/3^0.5),(K6/(380*3^0.5)))</f>
        <v>100.27662570135607</v>
      </c>
      <c r="L9" s="612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582"/>
      <c r="E12" s="583"/>
      <c r="F12" s="197"/>
      <c r="G12" s="197"/>
      <c r="I12" s="398" t="s">
        <v>1530</v>
      </c>
      <c r="J12" s="399" t="s">
        <v>9</v>
      </c>
      <c r="K12" s="582" t="s">
        <v>1643</v>
      </c>
      <c r="L12" s="583"/>
    </row>
    <row r="13" spans="1:12" ht="31.5" customHeight="1">
      <c r="A13" s="193"/>
      <c r="B13" s="406" t="s">
        <v>1379</v>
      </c>
      <c r="C13" s="386" t="s">
        <v>9</v>
      </c>
      <c r="D13" s="586"/>
      <c r="E13" s="587"/>
      <c r="F13" s="197"/>
      <c r="G13" s="197"/>
      <c r="I13" s="400" t="s">
        <v>1379</v>
      </c>
      <c r="J13" s="386" t="s">
        <v>9</v>
      </c>
      <c r="K13" s="586" t="s">
        <v>1636</v>
      </c>
      <c r="L13" s="587"/>
    </row>
    <row r="14" spans="1:12" ht="30.75" customHeight="1">
      <c r="A14" s="193"/>
      <c r="B14" s="406" t="s">
        <v>1531</v>
      </c>
      <c r="C14" s="386" t="s">
        <v>9</v>
      </c>
      <c r="D14" s="594"/>
      <c r="E14" s="595"/>
      <c r="F14" s="374" t="s">
        <v>1452</v>
      </c>
      <c r="G14" s="378">
        <v>50</v>
      </c>
      <c r="I14" s="400" t="s">
        <v>1531</v>
      </c>
      <c r="J14" s="386" t="s">
        <v>9</v>
      </c>
      <c r="K14" s="596">
        <v>100</v>
      </c>
      <c r="L14" s="597"/>
    </row>
    <row r="15" spans="1:12" ht="57" customHeight="1">
      <c r="A15" s="193"/>
      <c r="B15" s="406" t="s">
        <v>1440</v>
      </c>
      <c r="C15" s="386" t="s">
        <v>9</v>
      </c>
      <c r="D15" s="392"/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598">
        <v>0</v>
      </c>
      <c r="E16" s="599"/>
      <c r="F16" s="374"/>
      <c r="G16" s="378">
        <v>160</v>
      </c>
      <c r="I16" s="400" t="s">
        <v>1533</v>
      </c>
      <c r="J16" s="386" t="s">
        <v>9</v>
      </c>
      <c r="K16" s="600">
        <f>K9</f>
        <v>100.27662570135607</v>
      </c>
      <c r="L16" s="601"/>
    </row>
    <row r="17" spans="1:12" ht="34.5" customHeight="1">
      <c r="A17" s="193"/>
      <c r="B17" s="406" t="s">
        <v>1534</v>
      </c>
      <c r="C17" s="386" t="s">
        <v>9</v>
      </c>
      <c r="D17" s="588">
        <f>IF(D15=1,D14/(20/3^0.5),(D14/(20*3^0.5)))</f>
        <v>0</v>
      </c>
      <c r="E17" s="589"/>
      <c r="F17" s="374" t="s">
        <v>1452</v>
      </c>
      <c r="G17" s="379">
        <v>200</v>
      </c>
      <c r="I17" s="400" t="s">
        <v>1534</v>
      </c>
      <c r="J17" s="386" t="s">
        <v>9</v>
      </c>
      <c r="K17" s="592">
        <f>IF(K15=1,K14/(20/3^0.5),(K14/(20*3^0.5)))</f>
        <v>2.8867513459481291</v>
      </c>
      <c r="L17" s="593"/>
    </row>
    <row r="18" spans="1:12" ht="34.5" customHeight="1">
      <c r="A18" s="193"/>
      <c r="B18" s="406" t="s">
        <v>1535</v>
      </c>
      <c r="C18" s="386" t="s">
        <v>9</v>
      </c>
      <c r="D18" s="588">
        <f>IF(D15=1,D14/(380/3^0.5),(D14/(380*3^0.5)))*1000</f>
        <v>0</v>
      </c>
      <c r="E18" s="589"/>
      <c r="F18" s="374" t="s">
        <v>1452</v>
      </c>
      <c r="G18" s="379">
        <v>250</v>
      </c>
      <c r="I18" s="400" t="s">
        <v>1535</v>
      </c>
      <c r="J18" s="386" t="s">
        <v>9</v>
      </c>
      <c r="K18" s="592">
        <f>IF(K15=1,K14/(380/3^0.5),(K14/(380*3^0.5)))*1000</f>
        <v>151.93428136569102</v>
      </c>
      <c r="L18" s="593"/>
    </row>
    <row r="19" spans="1:12" ht="30" customHeight="1">
      <c r="A19" s="193"/>
      <c r="B19" s="407" t="s">
        <v>1527</v>
      </c>
      <c r="C19" s="385" t="s">
        <v>9</v>
      </c>
      <c r="D19" s="588">
        <f>IF(D15=1,D14/(380/3^0.5),(D14/(380*3^0.5)))</f>
        <v>0</v>
      </c>
      <c r="E19" s="589"/>
      <c r="F19" s="196"/>
      <c r="G19" s="370"/>
      <c r="I19" s="402" t="s">
        <v>1527</v>
      </c>
      <c r="J19" s="385" t="s">
        <v>9</v>
      </c>
      <c r="K19" s="592">
        <f>IF(K15=1,K14/(380/3^0.5),(K14/(380*3^0.5)))</f>
        <v>0.15193428136569101</v>
      </c>
      <c r="L19" s="593"/>
    </row>
    <row r="20" spans="1:12" ht="30" customHeight="1" thickBot="1">
      <c r="A20" s="193"/>
      <c r="B20" s="408" t="s">
        <v>1536</v>
      </c>
      <c r="C20" s="404" t="s">
        <v>9</v>
      </c>
      <c r="D20" s="584" t="e">
        <f>D16/D18</f>
        <v>#DIV/0!</v>
      </c>
      <c r="E20" s="585"/>
      <c r="F20" s="196"/>
      <c r="G20" s="370"/>
      <c r="I20" s="403" t="s">
        <v>1527</v>
      </c>
      <c r="J20" s="404" t="s">
        <v>9</v>
      </c>
      <c r="K20" s="590">
        <f>K16/K18</f>
        <v>0.65999999999999992</v>
      </c>
      <c r="L20" s="591"/>
    </row>
    <row r="21" spans="1:12" ht="9.75" customHeight="1">
      <c r="A21" s="193"/>
      <c r="B21" s="393" t="s">
        <v>1536</v>
      </c>
      <c r="C21" s="394" t="s">
        <v>9</v>
      </c>
      <c r="D21" s="569">
        <v>1</v>
      </c>
      <c r="E21" s="569"/>
      <c r="F21" s="395"/>
      <c r="G21" s="396"/>
      <c r="H21" s="397"/>
      <c r="I21" s="393" t="s">
        <v>1527</v>
      </c>
      <c r="J21" s="394" t="s">
        <v>9</v>
      </c>
      <c r="K21" s="569">
        <v>1</v>
      </c>
      <c r="L21" s="569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66"/>
      <c r="C24" s="567"/>
      <c r="D24" s="567"/>
      <c r="E24" s="568"/>
      <c r="I24" s="566"/>
      <c r="J24" s="567"/>
      <c r="K24" s="567"/>
      <c r="L24" s="568"/>
    </row>
    <row r="26" spans="1:12">
      <c r="D26" s="388"/>
    </row>
    <row r="27" spans="1:12">
      <c r="D27" s="38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3" priority="5" stopIfTrue="1" operator="greaterThan">
      <formula>0.89</formula>
    </cfRule>
    <cfRule type="cellIs" dxfId="2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4" zoomScale="85" zoomScaleNormal="85" workbookViewId="0">
      <selection activeCell="D25" sqref="D25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3"/>
      <c r="C1" s="613"/>
      <c r="D1" s="613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43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41667000</v>
      </c>
    </row>
    <row r="10" spans="2:11" ht="20.100000000000001" customHeight="1">
      <c r="B10" s="238" t="s">
        <v>1445</v>
      </c>
      <c r="C10" s="239" t="s">
        <v>9</v>
      </c>
      <c r="D10" s="245">
        <f ca="1">RAB!K110</f>
        <v>138448852.92074999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2768977.0584149999</v>
      </c>
    </row>
    <row r="12" spans="2:11" ht="9" customHeight="1">
      <c r="B12" s="614"/>
      <c r="C12" s="614"/>
      <c r="D12" s="614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PD ALI MUHMUDI 23-66KVA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1642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23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3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380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66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1458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972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W26" sqref="W26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5" t="s">
        <v>1356</v>
      </c>
      <c r="C3" s="615"/>
      <c r="D3" s="615"/>
      <c r="E3" s="615"/>
      <c r="F3" s="252" t="str">
        <f>DATA!D14</f>
        <v>PD ALI MUHMUDI 23-66KVA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6" t="s">
        <v>1348</v>
      </c>
      <c r="C5" s="616" t="s">
        <v>1357</v>
      </c>
      <c r="D5" s="617" t="s">
        <v>1358</v>
      </c>
      <c r="E5" s="617" t="s">
        <v>1359</v>
      </c>
      <c r="F5" s="616" t="s">
        <v>1360</v>
      </c>
      <c r="G5" s="616"/>
      <c r="H5" s="616"/>
      <c r="I5" s="616"/>
      <c r="J5" s="616"/>
      <c r="K5" s="616" t="s">
        <v>1361</v>
      </c>
      <c r="L5" s="616"/>
      <c r="M5" s="254"/>
      <c r="N5" s="620" t="s">
        <v>1362</v>
      </c>
      <c r="O5" s="617" t="s">
        <v>1363</v>
      </c>
      <c r="P5" s="617" t="s">
        <v>1364</v>
      </c>
      <c r="Q5" s="617" t="s">
        <v>1365</v>
      </c>
      <c r="R5" s="255"/>
      <c r="S5" s="256"/>
      <c r="T5" s="618" t="s">
        <v>1366</v>
      </c>
      <c r="U5" s="257"/>
    </row>
    <row r="6" spans="1:21" ht="20.100000000000001" customHeight="1">
      <c r="B6" s="616"/>
      <c r="C6" s="616"/>
      <c r="D6" s="616"/>
      <c r="E6" s="616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21"/>
      <c r="O6" s="616"/>
      <c r="P6" s="616"/>
      <c r="Q6" s="616"/>
      <c r="R6" s="255"/>
      <c r="S6" s="256"/>
      <c r="T6" s="616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6880</v>
      </c>
      <c r="D7" s="263">
        <f>C7*4/24</f>
        <v>1146.6666666666667</v>
      </c>
      <c r="E7" s="263">
        <f>C7-D7</f>
        <v>5733.333333333333</v>
      </c>
      <c r="F7" s="264">
        <f ca="1">DATA!D10/1000000</f>
        <v>138.44885292075</v>
      </c>
      <c r="G7" s="265">
        <f ca="1">DATA!$D$11/1000000</f>
        <v>2.768977058415</v>
      </c>
      <c r="H7" s="265">
        <f>C7*DATA!$D$5/1000000</f>
        <v>7.4587803156996983</v>
      </c>
      <c r="I7" s="265">
        <f>(C7*DATA!$D$5*DATA!$D$7)/1000000</f>
        <v>0.16782255710324323</v>
      </c>
      <c r="J7" s="263">
        <f ca="1">SUM(F7:I7)</f>
        <v>148.84443285196795</v>
      </c>
      <c r="K7" s="266">
        <f>DATA!D9/1000000</f>
        <v>41.667000000000002</v>
      </c>
      <c r="L7" s="263">
        <f>((D7*DATA!$D$23)/1000000)+((E7*DATA!$D$24)/1000000)</f>
        <v>7.2446400000000004</v>
      </c>
      <c r="M7" s="263">
        <f>K7+L7</f>
        <v>48.911640000000006</v>
      </c>
      <c r="N7" s="263">
        <f ca="1">M7-J7</f>
        <v>-99.932792851967946</v>
      </c>
      <c r="O7" s="261">
        <v>1</v>
      </c>
      <c r="P7" s="263">
        <f ca="1">O7*N7</f>
        <v>-99.932792851967946</v>
      </c>
      <c r="Q7" s="263">
        <f ca="1">P7</f>
        <v>-99.932792851967946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20640</v>
      </c>
      <c r="D8" s="263">
        <f>C8*4/24</f>
        <v>3440</v>
      </c>
      <c r="E8" s="263">
        <f t="shared" ref="E8:E32" si="0">C8-D8</f>
        <v>17200</v>
      </c>
      <c r="F8" s="261"/>
      <c r="G8" s="265">
        <f ca="1">DATA!$D$11/1000000</f>
        <v>2.768977058415</v>
      </c>
      <c r="H8" s="265">
        <f>C8*DATA!$D$5/1000000</f>
        <v>22.376340947099099</v>
      </c>
      <c r="I8" s="265">
        <f>(C8*DATA!$D$5*DATA!$D$7)/1000000</f>
        <v>0.50346767130972969</v>
      </c>
      <c r="J8" s="263">
        <f t="shared" ref="J8:J32" ca="1" si="1">SUM(F8:I8)</f>
        <v>25.648785676823827</v>
      </c>
      <c r="K8" s="268"/>
      <c r="L8" s="263">
        <f>((D8*DATA!$D$23)/1000000)+((E8*DATA!$D$24)/1000000)</f>
        <v>21.733919999999998</v>
      </c>
      <c r="M8" s="263">
        <f t="shared" ref="M8:M32" si="2">K8+L8</f>
        <v>21.733919999999998</v>
      </c>
      <c r="N8" s="263">
        <f ca="1">M8-J8</f>
        <v>-3.9148656768238297</v>
      </c>
      <c r="O8" s="262">
        <f>1/(1+'[93]Asumsi I'!$C$3)^(KKF!A8)</f>
        <v>0.89285714285714279</v>
      </c>
      <c r="P8" s="263">
        <f ca="1">O8*N8</f>
        <v>-3.4954157828784189</v>
      </c>
      <c r="Q8" s="263">
        <f ca="1">Q7+P8</f>
        <v>-103.42820863484637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20640</v>
      </c>
      <c r="D9" s="263">
        <f t="shared" ref="D9:D32" si="5">C9*4/24</f>
        <v>3440</v>
      </c>
      <c r="E9" s="263">
        <f t="shared" si="0"/>
        <v>17200</v>
      </c>
      <c r="F9" s="261"/>
      <c r="G9" s="265">
        <f ca="1">DATA!$D$11/1000000</f>
        <v>2.768977058415</v>
      </c>
      <c r="H9" s="265">
        <f>C9*DATA!$D$5/1000000</f>
        <v>22.376340947099099</v>
      </c>
      <c r="I9" s="265">
        <f>(C9*DATA!$D$5*DATA!$D$7)/1000000</f>
        <v>0.50346767130972969</v>
      </c>
      <c r="J9" s="263">
        <f t="shared" ca="1" si="1"/>
        <v>25.648785676823827</v>
      </c>
      <c r="K9" s="263"/>
      <c r="L9" s="263">
        <f>((D9*DATA!$D$23)/1000000)+((E9*DATA!$D$24)/1000000)</f>
        <v>21.733919999999998</v>
      </c>
      <c r="M9" s="263">
        <f t="shared" si="2"/>
        <v>21.733919999999998</v>
      </c>
      <c r="N9" s="263">
        <f t="shared" ref="N9:N32" ca="1" si="6">M9-J9</f>
        <v>-3.9148656768238297</v>
      </c>
      <c r="O9" s="269">
        <f>1/(1+'[93]Asumsi I'!$C$3)^(KKF!A9)</f>
        <v>0.79719387755102034</v>
      </c>
      <c r="P9" s="263">
        <f t="shared" ref="P9:P32" ca="1" si="7">O9*N9</f>
        <v>-3.1209069489985883</v>
      </c>
      <c r="Q9" s="263">
        <f ca="1">Q8+P9</f>
        <v>-106.54911558384497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20640</v>
      </c>
      <c r="D10" s="263">
        <f t="shared" si="5"/>
        <v>3440</v>
      </c>
      <c r="E10" s="263">
        <f t="shared" si="0"/>
        <v>17200</v>
      </c>
      <c r="F10" s="261"/>
      <c r="G10" s="265">
        <f ca="1">DATA!$D$11/1000000</f>
        <v>2.768977058415</v>
      </c>
      <c r="H10" s="265">
        <f>C10*DATA!$D$5/1000000</f>
        <v>22.376340947099099</v>
      </c>
      <c r="I10" s="265">
        <f>(C10*DATA!$D$5*DATA!$D$7)/1000000</f>
        <v>0.50346767130972969</v>
      </c>
      <c r="J10" s="263">
        <f t="shared" ca="1" si="1"/>
        <v>25.648785676823827</v>
      </c>
      <c r="K10" s="261"/>
      <c r="L10" s="263">
        <f>((D10*DATA!$D$23)/1000000)+((E10*DATA!$D$24)/1000000)</f>
        <v>21.733919999999998</v>
      </c>
      <c r="M10" s="263">
        <f t="shared" si="2"/>
        <v>21.733919999999998</v>
      </c>
      <c r="N10" s="263">
        <f t="shared" ca="1" si="6"/>
        <v>-3.9148656768238297</v>
      </c>
      <c r="O10" s="262">
        <f>1/(1+'[93]Asumsi I'!$C$3)^(KKF!A10)</f>
        <v>0.71178024781341087</v>
      </c>
      <c r="P10" s="263">
        <f t="shared" ca="1" si="7"/>
        <v>-2.7865240616058822</v>
      </c>
      <c r="Q10" s="263">
        <f t="shared" ref="Q10:Q30" ca="1" si="9">Q9+P10</f>
        <v>-109.33563964545085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20640</v>
      </c>
      <c r="D11" s="263">
        <f t="shared" si="5"/>
        <v>3440</v>
      </c>
      <c r="E11" s="263">
        <f t="shared" si="0"/>
        <v>17200</v>
      </c>
      <c r="F11" s="261"/>
      <c r="G11" s="265">
        <f ca="1">DATA!$D$11/1000000</f>
        <v>2.768977058415</v>
      </c>
      <c r="H11" s="265">
        <f>C11*DATA!$D$5/1000000</f>
        <v>22.376340947099099</v>
      </c>
      <c r="I11" s="265">
        <f>(C11*DATA!$D$5*DATA!$D$7)/1000000</f>
        <v>0.50346767130972969</v>
      </c>
      <c r="J11" s="263">
        <f t="shared" ca="1" si="1"/>
        <v>25.648785676823827</v>
      </c>
      <c r="K11" s="261"/>
      <c r="L11" s="263">
        <f>((D11*DATA!$D$23)/1000000)+((E11*DATA!$D$24)/1000000)</f>
        <v>21.733919999999998</v>
      </c>
      <c r="M11" s="263">
        <f t="shared" si="2"/>
        <v>21.733919999999998</v>
      </c>
      <c r="N11" s="263">
        <f t="shared" ca="1" si="6"/>
        <v>-3.9148656768238297</v>
      </c>
      <c r="O11" s="262">
        <f>1/(1+'[93]Asumsi I'!$C$3)^(KKF!A11)</f>
        <v>0.63551807840483121</v>
      </c>
      <c r="P11" s="263">
        <f t="shared" ca="1" si="7"/>
        <v>-2.4879679121481093</v>
      </c>
      <c r="Q11" s="263">
        <f t="shared" ca="1" si="9"/>
        <v>-111.82360755759896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20640</v>
      </c>
      <c r="D12" s="263">
        <f t="shared" si="5"/>
        <v>3440</v>
      </c>
      <c r="E12" s="263">
        <f t="shared" si="0"/>
        <v>17200</v>
      </c>
      <c r="F12" s="261"/>
      <c r="G12" s="265">
        <f ca="1">DATA!$D$11/1000000</f>
        <v>2.768977058415</v>
      </c>
      <c r="H12" s="265">
        <f>C12*DATA!$D$5/1000000</f>
        <v>22.376340947099099</v>
      </c>
      <c r="I12" s="265">
        <f>(C12*DATA!$D$5*DATA!$D$7)/1000000</f>
        <v>0.50346767130972969</v>
      </c>
      <c r="J12" s="263">
        <f t="shared" ca="1" si="1"/>
        <v>25.648785676823827</v>
      </c>
      <c r="K12" s="261"/>
      <c r="L12" s="263">
        <f>((D12*DATA!$D$23)/1000000)+((E12*DATA!$D$24)/1000000)</f>
        <v>21.733919999999998</v>
      </c>
      <c r="M12" s="263">
        <f t="shared" si="2"/>
        <v>21.733919999999998</v>
      </c>
      <c r="N12" s="263">
        <f t="shared" ca="1" si="6"/>
        <v>-3.9148656768238297</v>
      </c>
      <c r="O12" s="262">
        <f>1/(1+'[93]Asumsi I'!$C$3)^(KKF!A12)</f>
        <v>0.56742685571859919</v>
      </c>
      <c r="P12" s="263">
        <f t="shared" ca="1" si="7"/>
        <v>-2.2213999215608116</v>
      </c>
      <c r="Q12" s="263">
        <f t="shared" ca="1" si="9"/>
        <v>-114.04500747915978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20640</v>
      </c>
      <c r="D13" s="263">
        <f t="shared" si="5"/>
        <v>3440</v>
      </c>
      <c r="E13" s="263">
        <f t="shared" si="0"/>
        <v>17200</v>
      </c>
      <c r="F13" s="261"/>
      <c r="G13" s="265">
        <f ca="1">DATA!$D$11/1000000</f>
        <v>2.768977058415</v>
      </c>
      <c r="H13" s="265">
        <f>C13*DATA!$D$5/1000000</f>
        <v>22.376340947099099</v>
      </c>
      <c r="I13" s="265">
        <f>(C13*DATA!$D$5*DATA!$D$7)/1000000</f>
        <v>0.50346767130972969</v>
      </c>
      <c r="J13" s="263">
        <f t="shared" ca="1" si="1"/>
        <v>25.648785676823827</v>
      </c>
      <c r="K13" s="261"/>
      <c r="L13" s="263">
        <f>((D13*DATA!$D$23)/1000000)+((E13*DATA!$D$24)/1000000)</f>
        <v>21.733919999999998</v>
      </c>
      <c r="M13" s="263">
        <f t="shared" si="2"/>
        <v>21.733919999999998</v>
      </c>
      <c r="N13" s="263">
        <f t="shared" ca="1" si="6"/>
        <v>-3.9148656768238297</v>
      </c>
      <c r="O13" s="262">
        <f>1/(1+'[93]Asumsi I'!$C$3)^(KKF!A13)</f>
        <v>0.50663112117732068</v>
      </c>
      <c r="P13" s="263">
        <f t="shared" ca="1" si="7"/>
        <v>-1.9833927871078672</v>
      </c>
      <c r="Q13" s="263">
        <f t="shared" ca="1" si="9"/>
        <v>-116.02840026626765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20640</v>
      </c>
      <c r="D14" s="263">
        <f t="shared" si="5"/>
        <v>3440</v>
      </c>
      <c r="E14" s="263">
        <f t="shared" si="0"/>
        <v>17200</v>
      </c>
      <c r="F14" s="261"/>
      <c r="G14" s="265">
        <f ca="1">DATA!$D$11/1000000</f>
        <v>2.768977058415</v>
      </c>
      <c r="H14" s="265">
        <f>C14*DATA!$D$5/1000000</f>
        <v>22.376340947099099</v>
      </c>
      <c r="I14" s="265">
        <f>(C14*DATA!$D$5*DATA!$D$7)/1000000</f>
        <v>0.50346767130972969</v>
      </c>
      <c r="J14" s="263">
        <f t="shared" ca="1" si="1"/>
        <v>25.648785676823827</v>
      </c>
      <c r="K14" s="261"/>
      <c r="L14" s="263">
        <f>((D14*DATA!$D$23)/1000000)+((E14*DATA!$D$24)/1000000)</f>
        <v>21.733919999999998</v>
      </c>
      <c r="M14" s="263">
        <f t="shared" si="2"/>
        <v>21.733919999999998</v>
      </c>
      <c r="N14" s="263">
        <f t="shared" ca="1" si="6"/>
        <v>-3.9148656768238297</v>
      </c>
      <c r="O14" s="262">
        <f>1/(1+'[93]Asumsi I'!$C$3)^(KKF!A14)</f>
        <v>0.45234921533689343</v>
      </c>
      <c r="P14" s="263">
        <f t="shared" ca="1" si="7"/>
        <v>-1.7708864170605956</v>
      </c>
      <c r="Q14" s="263">
        <f t="shared" ca="1" si="9"/>
        <v>-117.79928668332825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20640</v>
      </c>
      <c r="D15" s="263">
        <f t="shared" si="5"/>
        <v>3440</v>
      </c>
      <c r="E15" s="263">
        <f t="shared" si="0"/>
        <v>17200</v>
      </c>
      <c r="F15" s="261"/>
      <c r="G15" s="265">
        <f ca="1">DATA!$D$11/1000000</f>
        <v>2.768977058415</v>
      </c>
      <c r="H15" s="265">
        <f>C15*DATA!$D$5/1000000</f>
        <v>22.376340947099099</v>
      </c>
      <c r="I15" s="265">
        <f>(C15*DATA!$D$5*DATA!$D$7)/1000000</f>
        <v>0.50346767130972969</v>
      </c>
      <c r="J15" s="263">
        <f t="shared" ca="1" si="1"/>
        <v>25.648785676823827</v>
      </c>
      <c r="K15" s="261"/>
      <c r="L15" s="263">
        <f>((D15*DATA!$D$23)/1000000)+((E15*DATA!$D$24)/1000000)</f>
        <v>21.733919999999998</v>
      </c>
      <c r="M15" s="263">
        <f t="shared" si="2"/>
        <v>21.733919999999998</v>
      </c>
      <c r="N15" s="263">
        <f t="shared" ca="1" si="6"/>
        <v>-3.9148656768238297</v>
      </c>
      <c r="O15" s="262">
        <f>1/(1+'[93]Asumsi I'!$C$3)^(KKF!A15)</f>
        <v>0.4038832279793691</v>
      </c>
      <c r="P15" s="263">
        <f t="shared" ca="1" si="7"/>
        <v>-1.5811485866612458</v>
      </c>
      <c r="Q15" s="263">
        <f t="shared" ca="1" si="9"/>
        <v>-119.38043526998949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20640</v>
      </c>
      <c r="D16" s="263">
        <f t="shared" si="5"/>
        <v>3440</v>
      </c>
      <c r="E16" s="263">
        <f t="shared" si="0"/>
        <v>17200</v>
      </c>
      <c r="F16" s="261"/>
      <c r="G16" s="265">
        <f ca="1">DATA!$D$11/1000000</f>
        <v>2.768977058415</v>
      </c>
      <c r="H16" s="265">
        <f>C16*DATA!$D$5/1000000</f>
        <v>22.376340947099099</v>
      </c>
      <c r="I16" s="265">
        <f>(C16*DATA!$D$5*DATA!$D$7)/1000000</f>
        <v>0.50346767130972969</v>
      </c>
      <c r="J16" s="263">
        <f t="shared" ca="1" si="1"/>
        <v>25.648785676823827</v>
      </c>
      <c r="K16" s="261"/>
      <c r="L16" s="263">
        <f>((D16*DATA!$D$23)/1000000)+((E16*DATA!$D$24)/1000000)</f>
        <v>21.733919999999998</v>
      </c>
      <c r="M16" s="263">
        <f t="shared" si="2"/>
        <v>21.733919999999998</v>
      </c>
      <c r="N16" s="263">
        <f t="shared" ca="1" si="6"/>
        <v>-3.9148656768238297</v>
      </c>
      <c r="O16" s="262">
        <f>1/(1+'[93]Asumsi I'!$C$3)^(KKF!A16)</f>
        <v>0.36061002498157957</v>
      </c>
      <c r="P16" s="263">
        <f t="shared" ca="1" si="7"/>
        <v>-1.4117398095189697</v>
      </c>
      <c r="Q16" s="263">
        <f t="shared" ca="1" si="9"/>
        <v>-120.79217507950845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20640</v>
      </c>
      <c r="D17" s="263">
        <f t="shared" si="5"/>
        <v>3440</v>
      </c>
      <c r="E17" s="263">
        <f t="shared" si="0"/>
        <v>17200</v>
      </c>
      <c r="F17" s="261"/>
      <c r="G17" s="265">
        <f ca="1">DATA!$D$11/1000000</f>
        <v>2.768977058415</v>
      </c>
      <c r="H17" s="265">
        <f>C17*DATA!$D$5/1000000</f>
        <v>22.376340947099099</v>
      </c>
      <c r="I17" s="265">
        <f>(C17*DATA!$D$5*DATA!$D$7)/1000000</f>
        <v>0.50346767130972969</v>
      </c>
      <c r="J17" s="263">
        <f t="shared" ca="1" si="1"/>
        <v>25.648785676823827</v>
      </c>
      <c r="K17" s="261"/>
      <c r="L17" s="263">
        <f>((D17*DATA!$D$23)/1000000)+((E17*DATA!$D$24)/1000000)</f>
        <v>21.733919999999998</v>
      </c>
      <c r="M17" s="263">
        <f t="shared" si="2"/>
        <v>21.733919999999998</v>
      </c>
      <c r="N17" s="263">
        <f t="shared" ca="1" si="6"/>
        <v>-3.9148656768238297</v>
      </c>
      <c r="O17" s="262">
        <f>1/(1+'[93]Asumsi I'!$C$3)^(KKF!A17)</f>
        <v>0.32197323659069599</v>
      </c>
      <c r="P17" s="263">
        <f t="shared" ca="1" si="7"/>
        <v>-1.260481972784794</v>
      </c>
      <c r="Q17" s="263">
        <f t="shared" ca="1" si="9"/>
        <v>-122.05265705229324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20640</v>
      </c>
      <c r="D18" s="263">
        <f t="shared" si="5"/>
        <v>3440</v>
      </c>
      <c r="E18" s="263">
        <f t="shared" si="0"/>
        <v>17200</v>
      </c>
      <c r="F18" s="261"/>
      <c r="G18" s="265">
        <f ca="1">DATA!$D$11/1000000</f>
        <v>2.768977058415</v>
      </c>
      <c r="H18" s="265">
        <f>C18*DATA!$D$5/1000000</f>
        <v>22.376340947099099</v>
      </c>
      <c r="I18" s="265">
        <f>(C18*DATA!$D$5*DATA!$D$7)/1000000</f>
        <v>0.50346767130972969</v>
      </c>
      <c r="J18" s="263">
        <f t="shared" ca="1" si="1"/>
        <v>25.648785676823827</v>
      </c>
      <c r="K18" s="261"/>
      <c r="L18" s="263">
        <f>((D18*DATA!$D$23)/1000000)+((E18*DATA!$D$24)/1000000)</f>
        <v>21.733919999999998</v>
      </c>
      <c r="M18" s="263">
        <f t="shared" si="2"/>
        <v>21.733919999999998</v>
      </c>
      <c r="N18" s="263">
        <f t="shared" ca="1" si="6"/>
        <v>-3.9148656768238297</v>
      </c>
      <c r="O18" s="262">
        <f>1/(1+'[93]Asumsi I'!$C$3)^(KKF!A18)</f>
        <v>0.28747610409883567</v>
      </c>
      <c r="P18" s="263">
        <f t="shared" ca="1" si="7"/>
        <v>-1.125430332843566</v>
      </c>
      <c r="Q18" s="263">
        <f t="shared" ca="1" si="9"/>
        <v>-123.17808738513681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20640</v>
      </c>
      <c r="D19" s="263">
        <f t="shared" si="5"/>
        <v>3440</v>
      </c>
      <c r="E19" s="263">
        <f t="shared" si="0"/>
        <v>17200</v>
      </c>
      <c r="F19" s="261"/>
      <c r="G19" s="265">
        <f ca="1">DATA!$D$11/1000000</f>
        <v>2.768977058415</v>
      </c>
      <c r="H19" s="265">
        <f>C19*DATA!$D$5/1000000</f>
        <v>22.376340947099099</v>
      </c>
      <c r="I19" s="265">
        <f>(C19*DATA!$D$5*DATA!$D$7)/1000000</f>
        <v>0.50346767130972969</v>
      </c>
      <c r="J19" s="263">
        <f t="shared" ca="1" si="1"/>
        <v>25.648785676823827</v>
      </c>
      <c r="K19" s="261"/>
      <c r="L19" s="263">
        <f>((D19*DATA!$D$23)/1000000)+((E19*DATA!$D$24)/1000000)</f>
        <v>21.733919999999998</v>
      </c>
      <c r="M19" s="263">
        <f t="shared" si="2"/>
        <v>21.733919999999998</v>
      </c>
      <c r="N19" s="263">
        <f t="shared" ca="1" si="6"/>
        <v>-3.9148656768238297</v>
      </c>
      <c r="O19" s="262">
        <f>1/(1+'[93]Asumsi I'!$C$3)^(KKF!A19)</f>
        <v>0.25667509294538904</v>
      </c>
      <c r="P19" s="263">
        <f t="shared" ca="1" si="7"/>
        <v>-1.0048485114674699</v>
      </c>
      <c r="Q19" s="263">
        <f t="shared" ca="1" si="9"/>
        <v>-124.18293589660428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20640</v>
      </c>
      <c r="D20" s="263">
        <f t="shared" si="5"/>
        <v>3440</v>
      </c>
      <c r="E20" s="263">
        <f t="shared" si="0"/>
        <v>17200</v>
      </c>
      <c r="F20" s="261"/>
      <c r="G20" s="265">
        <f ca="1">DATA!$D$11/1000000</f>
        <v>2.768977058415</v>
      </c>
      <c r="H20" s="265">
        <f>C20*DATA!$D$5/1000000</f>
        <v>22.376340947099099</v>
      </c>
      <c r="I20" s="265">
        <f>(C20*DATA!$D$5*DATA!$D$7)/1000000</f>
        <v>0.50346767130972969</v>
      </c>
      <c r="J20" s="263">
        <f t="shared" ca="1" si="1"/>
        <v>25.648785676823827</v>
      </c>
      <c r="K20" s="261"/>
      <c r="L20" s="263">
        <f>((D20*DATA!$D$23)/1000000)+((E20*DATA!$D$24)/1000000)</f>
        <v>21.733919999999998</v>
      </c>
      <c r="M20" s="263">
        <f t="shared" si="2"/>
        <v>21.733919999999998</v>
      </c>
      <c r="N20" s="263">
        <f t="shared" ca="1" si="6"/>
        <v>-3.9148656768238297</v>
      </c>
      <c r="O20" s="262">
        <f>1/(1+'[93]Asumsi I'!$C$3)^(KKF!A20)</f>
        <v>0.22917419012981158</v>
      </c>
      <c r="P20" s="263">
        <f t="shared" ca="1" si="7"/>
        <v>-0.89718617095309783</v>
      </c>
      <c r="Q20" s="263">
        <f t="shared" ca="1" si="9"/>
        <v>-125.08012206755737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20640</v>
      </c>
      <c r="D21" s="263">
        <f t="shared" si="5"/>
        <v>3440</v>
      </c>
      <c r="E21" s="263">
        <f t="shared" si="0"/>
        <v>17200</v>
      </c>
      <c r="F21" s="261"/>
      <c r="G21" s="265">
        <f ca="1">DATA!$D$11/1000000</f>
        <v>2.768977058415</v>
      </c>
      <c r="H21" s="265">
        <f>C21*DATA!$D$5/1000000</f>
        <v>22.376340947099099</v>
      </c>
      <c r="I21" s="265">
        <f>(C21*DATA!$D$5*DATA!$D$7)/1000000</f>
        <v>0.50346767130972969</v>
      </c>
      <c r="J21" s="263">
        <f t="shared" ca="1" si="1"/>
        <v>25.648785676823827</v>
      </c>
      <c r="K21" s="261"/>
      <c r="L21" s="263">
        <f>((D21*DATA!$D$23)/1000000)+((E21*DATA!$D$24)/1000000)</f>
        <v>21.733919999999998</v>
      </c>
      <c r="M21" s="263">
        <f t="shared" si="2"/>
        <v>21.733919999999998</v>
      </c>
      <c r="N21" s="263">
        <f t="shared" ca="1" si="6"/>
        <v>-3.9148656768238297</v>
      </c>
      <c r="O21" s="262">
        <f>1/(1+'[93]Asumsi I'!$C$3)^(KKF!A21)</f>
        <v>0.20461981261590317</v>
      </c>
      <c r="P21" s="263">
        <f t="shared" ca="1" si="7"/>
        <v>-0.80105908120812297</v>
      </c>
      <c r="Q21" s="263">
        <f t="shared" ca="1" si="9"/>
        <v>-125.88118114876549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20640</v>
      </c>
      <c r="D22" s="263">
        <f t="shared" si="5"/>
        <v>3440</v>
      </c>
      <c r="E22" s="263">
        <f t="shared" si="0"/>
        <v>17200</v>
      </c>
      <c r="F22" s="261"/>
      <c r="G22" s="265">
        <f ca="1">DATA!$D$11/1000000</f>
        <v>2.768977058415</v>
      </c>
      <c r="H22" s="265">
        <f>C22*DATA!$D$5/1000000</f>
        <v>22.376340947099099</v>
      </c>
      <c r="I22" s="265">
        <f>(C22*DATA!$D$5*DATA!$D$7)/1000000</f>
        <v>0.50346767130972969</v>
      </c>
      <c r="J22" s="263">
        <f t="shared" ca="1" si="1"/>
        <v>25.648785676823827</v>
      </c>
      <c r="K22" s="261"/>
      <c r="L22" s="263">
        <f>((D22*DATA!$D$23)/1000000)+((E22*DATA!$D$24)/1000000)</f>
        <v>21.733919999999998</v>
      </c>
      <c r="M22" s="263">
        <f t="shared" si="2"/>
        <v>21.733919999999998</v>
      </c>
      <c r="N22" s="263">
        <f t="shared" ca="1" si="6"/>
        <v>-3.9148656768238297</v>
      </c>
      <c r="O22" s="262">
        <f>1/(1+'[93]Asumsi I'!$C$3)^(KKF!A22)</f>
        <v>0.18269626126419927</v>
      </c>
      <c r="P22" s="263">
        <f t="shared" ca="1" si="7"/>
        <v>-0.71523132250725274</v>
      </c>
      <c r="Q22" s="263">
        <f t="shared" ca="1" si="9"/>
        <v>-126.59641247127274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20640</v>
      </c>
      <c r="D23" s="263">
        <f t="shared" si="5"/>
        <v>3440</v>
      </c>
      <c r="E23" s="263">
        <f t="shared" si="0"/>
        <v>17200</v>
      </c>
      <c r="F23" s="261"/>
      <c r="G23" s="265">
        <f ca="1">DATA!$D$11/1000000</f>
        <v>2.768977058415</v>
      </c>
      <c r="H23" s="265">
        <f>C23*DATA!$D$5/1000000</f>
        <v>22.376340947099099</v>
      </c>
      <c r="I23" s="265">
        <f>(C23*DATA!$D$5*DATA!$D$7)/1000000</f>
        <v>0.50346767130972969</v>
      </c>
      <c r="J23" s="263">
        <f t="shared" ca="1" si="1"/>
        <v>25.648785676823827</v>
      </c>
      <c r="K23" s="261"/>
      <c r="L23" s="263">
        <f>((D23*DATA!$D$23)/1000000)+((E23*DATA!$D$24)/1000000)</f>
        <v>21.733919999999998</v>
      </c>
      <c r="M23" s="263">
        <f t="shared" si="2"/>
        <v>21.733919999999998</v>
      </c>
      <c r="N23" s="263">
        <f t="shared" ca="1" si="6"/>
        <v>-3.9148656768238297</v>
      </c>
      <c r="O23" s="262">
        <f>1/(1+'[93]Asumsi I'!$C$3)^(KKF!A23)</f>
        <v>0.16312166184303503</v>
      </c>
      <c r="P23" s="263">
        <f t="shared" ca="1" si="7"/>
        <v>-0.63859939509576125</v>
      </c>
      <c r="Q23" s="263">
        <f t="shared" ca="1" si="9"/>
        <v>-127.23501186636851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20640</v>
      </c>
      <c r="D24" s="263">
        <f t="shared" si="5"/>
        <v>3440</v>
      </c>
      <c r="E24" s="263">
        <f t="shared" si="0"/>
        <v>17200</v>
      </c>
      <c r="F24" s="261"/>
      <c r="G24" s="265">
        <f ca="1">DATA!$D$11/1000000</f>
        <v>2.768977058415</v>
      </c>
      <c r="H24" s="265">
        <f>C24*DATA!$D$5/1000000</f>
        <v>22.376340947099099</v>
      </c>
      <c r="I24" s="265">
        <f>(C24*DATA!$D$5*DATA!$D$7)/1000000</f>
        <v>0.50346767130972969</v>
      </c>
      <c r="J24" s="263">
        <f t="shared" ca="1" si="1"/>
        <v>25.648785676823827</v>
      </c>
      <c r="K24" s="261"/>
      <c r="L24" s="263">
        <f>((D24*DATA!$D$23)/1000000)+((E24*DATA!$D$24)/1000000)</f>
        <v>21.733919999999998</v>
      </c>
      <c r="M24" s="263">
        <f t="shared" si="2"/>
        <v>21.733919999999998</v>
      </c>
      <c r="N24" s="263">
        <f t="shared" ca="1" si="6"/>
        <v>-3.9148656768238297</v>
      </c>
      <c r="O24" s="262">
        <f>1/(1+'[93]Asumsi I'!$C$3)^(KKF!A24)</f>
        <v>0.14564434093128129</v>
      </c>
      <c r="P24" s="263">
        <f t="shared" ca="1" si="7"/>
        <v>-0.57017803133550116</v>
      </c>
      <c r="Q24" s="263">
        <f t="shared" ca="1" si="9"/>
        <v>-127.80518989770401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20640</v>
      </c>
      <c r="D25" s="263">
        <f t="shared" si="5"/>
        <v>3440</v>
      </c>
      <c r="E25" s="263">
        <f t="shared" si="0"/>
        <v>17200</v>
      </c>
      <c r="F25" s="261"/>
      <c r="G25" s="265">
        <f ca="1">DATA!$D$11/1000000</f>
        <v>2.768977058415</v>
      </c>
      <c r="H25" s="265">
        <f>C25*DATA!$D$5/1000000</f>
        <v>22.376340947099099</v>
      </c>
      <c r="I25" s="265">
        <f>(C25*DATA!$D$5*DATA!$D$7)/1000000</f>
        <v>0.50346767130972969</v>
      </c>
      <c r="J25" s="263">
        <f t="shared" ca="1" si="1"/>
        <v>25.648785676823827</v>
      </c>
      <c r="K25" s="261"/>
      <c r="L25" s="263">
        <f>((D25*DATA!$D$23)/1000000)+((E25*DATA!$D$24)/1000000)</f>
        <v>21.733919999999998</v>
      </c>
      <c r="M25" s="263">
        <f t="shared" si="2"/>
        <v>21.733919999999998</v>
      </c>
      <c r="N25" s="263">
        <f t="shared" ca="1" si="6"/>
        <v>-3.9148656768238297</v>
      </c>
      <c r="O25" s="262">
        <f>1/(1+'[93]Asumsi I'!$C$3)^(KKF!A25)</f>
        <v>0.13003959011721541</v>
      </c>
      <c r="P25" s="263">
        <f t="shared" ca="1" si="7"/>
        <v>-0.50908752797812595</v>
      </c>
      <c r="Q25" s="263">
        <f t="shared" ca="1" si="9"/>
        <v>-128.31427742568215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20640</v>
      </c>
      <c r="D26" s="263">
        <f t="shared" si="5"/>
        <v>3440</v>
      </c>
      <c r="E26" s="263">
        <f t="shared" si="0"/>
        <v>17200</v>
      </c>
      <c r="F26" s="261"/>
      <c r="G26" s="265">
        <f ca="1">DATA!$D$11/1000000</f>
        <v>2.768977058415</v>
      </c>
      <c r="H26" s="265">
        <f>C26*DATA!$D$5/1000000</f>
        <v>22.376340947099099</v>
      </c>
      <c r="I26" s="265">
        <f>(C26*DATA!$D$5*DATA!$D$7)/1000000</f>
        <v>0.50346767130972969</v>
      </c>
      <c r="J26" s="263">
        <f t="shared" ca="1" si="1"/>
        <v>25.648785676823827</v>
      </c>
      <c r="K26" s="261"/>
      <c r="L26" s="263">
        <f>((D26*DATA!$D$23)/1000000)+((E26*DATA!$D$24)/1000000)</f>
        <v>21.733919999999998</v>
      </c>
      <c r="M26" s="263">
        <f t="shared" si="2"/>
        <v>21.733919999999998</v>
      </c>
      <c r="N26" s="263">
        <f t="shared" ca="1" si="6"/>
        <v>-3.9148656768238297</v>
      </c>
      <c r="O26" s="262">
        <f>1/(1+'[93]Asumsi I'!$C$3)^(KKF!A26)</f>
        <v>0.1161067768903709</v>
      </c>
      <c r="P26" s="263">
        <f t="shared" ca="1" si="7"/>
        <v>-0.45454243569475528</v>
      </c>
      <c r="Q26" s="263">
        <f t="shared" ca="1" si="9"/>
        <v>-128.7688198613769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20640</v>
      </c>
      <c r="D27" s="263">
        <f t="shared" si="5"/>
        <v>3440</v>
      </c>
      <c r="E27" s="263">
        <f t="shared" si="0"/>
        <v>17200</v>
      </c>
      <c r="F27" s="261"/>
      <c r="G27" s="265">
        <f ca="1">DATA!$D$11/1000000</f>
        <v>2.768977058415</v>
      </c>
      <c r="H27" s="265">
        <f>C27*DATA!$D$5/1000000</f>
        <v>22.376340947099099</v>
      </c>
      <c r="I27" s="265">
        <f>(C27*DATA!$D$5*DATA!$D$7)/1000000</f>
        <v>0.50346767130972969</v>
      </c>
      <c r="J27" s="263">
        <f t="shared" ca="1" si="1"/>
        <v>25.648785676823827</v>
      </c>
      <c r="K27" s="261"/>
      <c r="L27" s="263">
        <f>((D27*DATA!$D$23)/1000000)+((E27*DATA!$D$24)/1000000)</f>
        <v>21.733919999999998</v>
      </c>
      <c r="M27" s="263">
        <f t="shared" si="2"/>
        <v>21.733919999999998</v>
      </c>
      <c r="N27" s="263">
        <f t="shared" ca="1" si="6"/>
        <v>-3.9148656768238297</v>
      </c>
      <c r="O27" s="262">
        <f>1/(1+'[93]Asumsi I'!$C$3)^(KKF!A27)</f>
        <v>0.1036667650806883</v>
      </c>
      <c r="P27" s="263">
        <f t="shared" ca="1" si="7"/>
        <v>-0.40584146044174574</v>
      </c>
      <c r="Q27" s="263">
        <f t="shared" ca="1" si="9"/>
        <v>-129.17466132181863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20640</v>
      </c>
      <c r="D28" s="263">
        <f t="shared" si="5"/>
        <v>3440</v>
      </c>
      <c r="E28" s="263">
        <f t="shared" si="0"/>
        <v>17200</v>
      </c>
      <c r="F28" s="261"/>
      <c r="G28" s="265">
        <f ca="1">DATA!$D$11/1000000</f>
        <v>2.768977058415</v>
      </c>
      <c r="H28" s="265">
        <f>C28*DATA!$D$5/1000000</f>
        <v>22.376340947099099</v>
      </c>
      <c r="I28" s="265">
        <f>(C28*DATA!$D$5*DATA!$D$7)/1000000</f>
        <v>0.50346767130972969</v>
      </c>
      <c r="J28" s="263">
        <f t="shared" ca="1" si="1"/>
        <v>25.648785676823827</v>
      </c>
      <c r="K28" s="261"/>
      <c r="L28" s="263">
        <f>((D28*DATA!$D$23)/1000000)+((E28*DATA!$D$24)/1000000)</f>
        <v>21.733919999999998</v>
      </c>
      <c r="M28" s="263">
        <f t="shared" si="2"/>
        <v>21.733919999999998</v>
      </c>
      <c r="N28" s="263">
        <f t="shared" ca="1" si="6"/>
        <v>-3.9148656768238297</v>
      </c>
      <c r="O28" s="262">
        <f>1/(1+'[93]Asumsi I'!$C$3)^(KKF!A28)</f>
        <v>9.2559611679185971E-2</v>
      </c>
      <c r="P28" s="263">
        <f t="shared" ca="1" si="7"/>
        <v>-0.36235844682298723</v>
      </c>
      <c r="Q28" s="263">
        <f t="shared" ca="1" si="9"/>
        <v>-129.53701976864161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20640</v>
      </c>
      <c r="D29" s="263">
        <f t="shared" si="5"/>
        <v>3440</v>
      </c>
      <c r="E29" s="263">
        <f t="shared" si="0"/>
        <v>17200</v>
      </c>
      <c r="F29" s="261"/>
      <c r="G29" s="265">
        <f ca="1">DATA!$D$11/1000000</f>
        <v>2.768977058415</v>
      </c>
      <c r="H29" s="265">
        <f>C29*DATA!$D$5/1000000</f>
        <v>22.376340947099099</v>
      </c>
      <c r="I29" s="265">
        <f>(C29*DATA!$D$5*DATA!$D$7)/1000000</f>
        <v>0.50346767130972969</v>
      </c>
      <c r="J29" s="263">
        <f t="shared" ca="1" si="1"/>
        <v>25.648785676823827</v>
      </c>
      <c r="K29" s="261"/>
      <c r="L29" s="263">
        <f>((D29*DATA!$D$23)/1000000)+((E29*DATA!$D$24)/1000000)</f>
        <v>21.733919999999998</v>
      </c>
      <c r="M29" s="263">
        <f t="shared" si="2"/>
        <v>21.733919999999998</v>
      </c>
      <c r="N29" s="263">
        <f t="shared" ca="1" si="6"/>
        <v>-3.9148656768238297</v>
      </c>
      <c r="O29" s="262">
        <f>1/(1+'[93]Asumsi I'!$C$3)^(KKF!A29)</f>
        <v>8.2642510427844609E-2</v>
      </c>
      <c r="P29" s="263">
        <f t="shared" ca="1" si="7"/>
        <v>-0.3235343275205243</v>
      </c>
      <c r="Q29" s="263">
        <f t="shared" ca="1" si="9"/>
        <v>-129.86055409616213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20640</v>
      </c>
      <c r="D30" s="263">
        <f t="shared" si="5"/>
        <v>3440</v>
      </c>
      <c r="E30" s="263">
        <f t="shared" si="0"/>
        <v>17200</v>
      </c>
      <c r="F30" s="261"/>
      <c r="G30" s="265">
        <f ca="1">DATA!$D$11/1000000</f>
        <v>2.768977058415</v>
      </c>
      <c r="H30" s="265">
        <f>C30*DATA!$D$5/1000000</f>
        <v>22.376340947099099</v>
      </c>
      <c r="I30" s="265">
        <f>(C30*DATA!$D$5*DATA!$D$7)/1000000</f>
        <v>0.50346767130972969</v>
      </c>
      <c r="J30" s="263">
        <f t="shared" ca="1" si="1"/>
        <v>25.648785676823827</v>
      </c>
      <c r="K30" s="261"/>
      <c r="L30" s="263">
        <f>((D30*DATA!$D$23)/1000000)+((E30*DATA!$D$24)/1000000)</f>
        <v>21.733919999999998</v>
      </c>
      <c r="M30" s="263">
        <f t="shared" si="2"/>
        <v>21.733919999999998</v>
      </c>
      <c r="N30" s="263">
        <f t="shared" ca="1" si="6"/>
        <v>-3.9148656768238297</v>
      </c>
      <c r="O30" s="262">
        <f>1/(1+'[93]Asumsi I'!$C$3)^(KKF!A30)</f>
        <v>7.3787955739146982E-2</v>
      </c>
      <c r="P30" s="263">
        <f t="shared" ca="1" si="7"/>
        <v>-0.28886993528618243</v>
      </c>
      <c r="Q30" s="263">
        <f t="shared" ca="1" si="9"/>
        <v>-130.14942403144832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20640</v>
      </c>
      <c r="D31" s="263">
        <f t="shared" si="5"/>
        <v>3440</v>
      </c>
      <c r="E31" s="263">
        <f t="shared" si="0"/>
        <v>17200</v>
      </c>
      <c r="F31" s="261"/>
      <c r="G31" s="265">
        <f ca="1">DATA!$D$11/1000000</f>
        <v>2.768977058415</v>
      </c>
      <c r="H31" s="265">
        <f>C31*DATA!$D$5/1000000</f>
        <v>22.376340947099099</v>
      </c>
      <c r="I31" s="265">
        <f>(C31*DATA!$D$5*DATA!$D$7)/1000000</f>
        <v>0.50346767130972969</v>
      </c>
      <c r="J31" s="263">
        <f t="shared" ca="1" si="1"/>
        <v>25.648785676823827</v>
      </c>
      <c r="K31" s="261"/>
      <c r="L31" s="263">
        <f>((D31*DATA!$D$23)/1000000)+((E31*DATA!$D$24)/1000000)</f>
        <v>21.733919999999998</v>
      </c>
      <c r="M31" s="263">
        <f t="shared" si="2"/>
        <v>21.733919999999998</v>
      </c>
      <c r="N31" s="263">
        <f t="shared" ca="1" si="6"/>
        <v>-3.9148656768238297</v>
      </c>
      <c r="O31" s="262">
        <f>1/(1+'[93]Asumsi I'!$C$3)^(KKF!A31)</f>
        <v>6.5882103338524081E-2</v>
      </c>
      <c r="P31" s="263">
        <f t="shared" ca="1" si="7"/>
        <v>-0.25791958507694857</v>
      </c>
      <c r="Q31" s="263">
        <f ca="1">Q30+P31</f>
        <v>-130.40734361652528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20640</v>
      </c>
      <c r="D32" s="263">
        <f t="shared" si="5"/>
        <v>3440</v>
      </c>
      <c r="E32" s="263">
        <f t="shared" si="0"/>
        <v>17200</v>
      </c>
      <c r="F32" s="261"/>
      <c r="G32" s="265">
        <f ca="1">DATA!$D$11/1000000</f>
        <v>2.768977058415</v>
      </c>
      <c r="H32" s="265">
        <f>C32*DATA!$D$5/1000000</f>
        <v>22.376340947099099</v>
      </c>
      <c r="I32" s="265">
        <f>(C32*DATA!$D$5*DATA!$D$7)/1000000</f>
        <v>0.50346767130972969</v>
      </c>
      <c r="J32" s="263">
        <f t="shared" ca="1" si="1"/>
        <v>25.648785676823827</v>
      </c>
      <c r="K32" s="261"/>
      <c r="L32" s="263">
        <f>((D32*DATA!$D$23)/1000000)+((E32*DATA!$D$24)/1000000)</f>
        <v>21.733919999999998</v>
      </c>
      <c r="M32" s="263">
        <f t="shared" si="2"/>
        <v>21.733919999999998</v>
      </c>
      <c r="N32" s="263">
        <f t="shared" ca="1" si="6"/>
        <v>-3.9148656768238297</v>
      </c>
      <c r="O32" s="262">
        <f>1/(1+'[93]Asumsi I'!$C$3)^(KKF!A32)</f>
        <v>5.8823306552253637E-2</v>
      </c>
      <c r="P32" s="263">
        <f t="shared" ca="1" si="7"/>
        <v>-0.23028534381870405</v>
      </c>
      <c r="Q32" s="263">
        <f ca="1">Q31+P32</f>
        <v>-130.63762896034399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9" t="s">
        <v>1373</v>
      </c>
      <c r="G33" s="619"/>
      <c r="H33" s="619"/>
      <c r="I33" s="271"/>
      <c r="J33" s="272">
        <f ca="1">SUM(J7:J32)</f>
        <v>790.06407477256403</v>
      </c>
      <c r="K33" s="619" t="s">
        <v>1374</v>
      </c>
      <c r="L33" s="619"/>
      <c r="M33" s="272">
        <f>SUM(M7:M32)</f>
        <v>592.25964000000022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-38.02031669518913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0.74963494596371083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-116.64074014316424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1" priority="1" stopIfTrue="1" operator="greaterThanOrEqual">
      <formula>$F$7</formula>
    </cfRule>
    <cfRule type="cellIs" dxfId="20" priority="2" stopIfTrue="1" operator="lessThan">
      <formula>$F$7</formula>
    </cfRule>
  </conditionalFormatting>
  <conditionalFormatting sqref="Q7:Q32">
    <cfRule type="cellIs" dxfId="19" priority="3" operator="lessThan">
      <formula>0</formula>
    </cfRule>
    <cfRule type="cellIs" dxfId="18" priority="4" operator="lessThan">
      <formula>0</formula>
    </cfRule>
    <cfRule type="cellIs" dxfId="17" priority="5" operator="lessThan">
      <formula>-6395.81</formula>
    </cfRule>
    <cfRule type="cellIs" dxfId="1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25"/>
  <sheetViews>
    <sheetView showGridLines="0" zoomScale="70" zoomScaleNormal="70" zoomScaleSheetLayoutView="70" workbookViewId="0">
      <pane ySplit="13" topLeftCell="A23" activePane="bottomLeft" state="frozen"/>
      <selection activeCell="H1093" sqref="H1093"/>
      <selection pane="bottomLeft" activeCell="E58" sqref="E58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22" t="s">
        <v>1036</v>
      </c>
      <c r="P3" s="622"/>
      <c r="Q3" s="293"/>
      <c r="T3" s="291"/>
      <c r="U3" s="292" t="s">
        <v>1041</v>
      </c>
      <c r="V3" s="291"/>
    </row>
    <row r="4" spans="1:22" ht="15.75" customHeight="1">
      <c r="B4" s="623" t="s">
        <v>1023</v>
      </c>
      <c r="C4" s="623"/>
      <c r="D4" s="623"/>
      <c r="E4" s="623"/>
      <c r="F4" s="623"/>
      <c r="G4" s="623"/>
      <c r="H4" s="623"/>
      <c r="I4" s="623"/>
      <c r="J4" s="623"/>
      <c r="K4" s="623"/>
      <c r="O4" s="622"/>
      <c r="P4" s="622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9" t="s">
        <v>1638</v>
      </c>
      <c r="H6" s="640"/>
      <c r="I6" s="640"/>
      <c r="J6" s="640"/>
      <c r="K6" s="640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1639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25" t="s">
        <v>0</v>
      </c>
      <c r="C11" s="627" t="s">
        <v>1</v>
      </c>
      <c r="D11" s="630" t="s">
        <v>42</v>
      </c>
      <c r="E11" s="630" t="s">
        <v>43</v>
      </c>
      <c r="F11" s="630" t="s">
        <v>2</v>
      </c>
      <c r="G11" s="632" t="s">
        <v>41</v>
      </c>
      <c r="H11" s="630" t="s">
        <v>3</v>
      </c>
      <c r="I11" s="630"/>
      <c r="J11" s="630"/>
      <c r="K11" s="650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26"/>
      <c r="C12" s="628"/>
      <c r="D12" s="631"/>
      <c r="E12" s="631"/>
      <c r="F12" s="631"/>
      <c r="G12" s="633"/>
      <c r="H12" s="635" t="s">
        <v>46</v>
      </c>
      <c r="I12" s="635" t="s">
        <v>5</v>
      </c>
      <c r="J12" s="631" t="s">
        <v>47</v>
      </c>
      <c r="K12" s="651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26"/>
      <c r="C13" s="629"/>
      <c r="D13" s="631"/>
      <c r="E13" s="631"/>
      <c r="F13" s="631"/>
      <c r="G13" s="634"/>
      <c r="H13" s="636"/>
      <c r="I13" s="636"/>
      <c r="J13" s="631"/>
      <c r="K13" s="651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ca="1">IF(OR(D14="MDU",D14="MDU-KD"),(IF($O$3="RAB NON MDU","PLN KD",G14*F14)),0)</f>
        <v>0</v>
      </c>
      <c r="I14" s="308">
        <f ca="1">IF(D14="HDW",G14*F14,0)</f>
        <v>0</v>
      </c>
      <c r="J14" s="308">
        <f ca="1">IF(D14="JASA",G14*F14,0)</f>
        <v>0</v>
      </c>
      <c r="K14" s="309">
        <f ca="1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25" ca="1" si="0">IF(OR(D15="MDU",D15="MDU-KD"),(IF($O$3="RAB NON MDU","PLN KD",G15*F15)),0)</f>
        <v>0</v>
      </c>
      <c r="I15" s="308">
        <f t="shared" ref="I15:I25" ca="1" si="1">IF(D15="HDW",G15*F15,0)</f>
        <v>0</v>
      </c>
      <c r="J15" s="308">
        <f t="shared" ref="J15:J25" ca="1" si="2">IF(D15="JASA",G15*F15,0)</f>
        <v>0</v>
      </c>
      <c r="K15" s="309">
        <f t="shared" ref="K15:K25" ca="1" si="3">SUM(H15:J15)</f>
        <v>0</v>
      </c>
      <c r="L15" s="289"/>
      <c r="M15" s="289" t="str">
        <f ca="1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19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ca="1">IF(OR(D17="MDU",D17="MDU-KD"),(IF($O$3="RAB NON MDU","PLN KD",G17*F17)),0)</f>
        <v>0</v>
      </c>
      <c r="I17" s="308">
        <f ca="1">IF(D17="HDW",G17*F17,0)</f>
        <v>0</v>
      </c>
      <c r="J17" s="308">
        <f ca="1">IF(D17="JASA",G17*F17,0)</f>
        <v>0</v>
      </c>
      <c r="K17" s="309">
        <f ca="1">SUM(H17:J17)</f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19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 t="str">
        <f ca="1"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8" t="s">
        <v>1601</v>
      </c>
      <c r="C19" s="421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ca="1">IF(AND(F19&gt;0,F18=0),"",IF(AND(ISBLANK(F19)=FALSE,K19=0),"WARNING",""))</f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520" t="s">
        <v>1035</v>
      </c>
      <c r="C20" s="521" t="s">
        <v>1634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1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520">
        <v>1</v>
      </c>
      <c r="C21" s="109" t="s">
        <v>1146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1">
        <f>F20*1</f>
        <v>1</v>
      </c>
      <c r="G21" s="307">
        <f ca="1">IF(ISERROR(OFFSET('HARGA SATUAN'!$I$6,MATCH(RAB!C21,'HARGA SATUAN'!$C$7:$C$1495,0),0)),0,OFFSET('HARGA SATUAN'!$I$6,MATCH(RAB!C21,'HARGA SATUAN'!$C$7:$C$1495,0),0))</f>
        <v>56838600</v>
      </c>
      <c r="H21" s="308">
        <f t="shared" ca="1" si="0"/>
        <v>56838600</v>
      </c>
      <c r="I21" s="308">
        <f t="shared" ca="1" si="1"/>
        <v>0</v>
      </c>
      <c r="J21" s="308">
        <f t="shared" ca="1" si="2"/>
        <v>0</v>
      </c>
      <c r="K21" s="309">
        <f t="shared" ca="1" si="3"/>
        <v>56838600</v>
      </c>
      <c r="L21" s="289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516">
        <v>2</v>
      </c>
      <c r="C22" s="517" t="s">
        <v>1626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3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0"/>
        <v>0</v>
      </c>
      <c r="I22" s="308">
        <f t="shared" ca="1" si="1"/>
        <v>0</v>
      </c>
      <c r="J22" s="308">
        <f t="shared" ca="1" si="2"/>
        <v>0</v>
      </c>
      <c r="K22" s="309">
        <f t="shared" ca="1" si="3"/>
        <v>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520"/>
      <c r="C23" s="517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1">
        <f>F20*(3*3)</f>
        <v>9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0"/>
        <v>127800</v>
      </c>
      <c r="I23" s="308">
        <f t="shared" ca="1" si="1"/>
        <v>0</v>
      </c>
      <c r="J23" s="308">
        <f t="shared" ca="1" si="2"/>
        <v>0</v>
      </c>
      <c r="K23" s="309">
        <f t="shared" ca="1" si="3"/>
        <v>127800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520"/>
      <c r="C24" s="517" t="s">
        <v>1627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1">
        <f>F20*3</f>
        <v>3</v>
      </c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0"/>
        <v>0</v>
      </c>
      <c r="I24" s="308">
        <f t="shared" ca="1" si="1"/>
        <v>0</v>
      </c>
      <c r="J24" s="308">
        <f t="shared" ca="1" si="2"/>
        <v>0</v>
      </c>
      <c r="K24" s="309">
        <f t="shared" ca="1" si="3"/>
        <v>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520">
        <v>3</v>
      </c>
      <c r="C25" s="109" t="s">
        <v>559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1">
        <f>F20*3</f>
        <v>3</v>
      </c>
      <c r="G25" s="307">
        <f ca="1">IF(ISERROR(OFFSET('HARGA SATUAN'!$I$6,MATCH(RAB!C25,'HARGA SATUAN'!$C$7:$C$1495,0),0)),0,OFFSET('HARGA SATUAN'!$I$6,MATCH(RAB!C25,'HARGA SATUAN'!$C$7:$C$1495,0),0))</f>
        <v>725900</v>
      </c>
      <c r="H25" s="308">
        <f t="shared" ca="1" si="0"/>
        <v>2177700</v>
      </c>
      <c r="I25" s="308">
        <f t="shared" ca="1" si="1"/>
        <v>0</v>
      </c>
      <c r="J25" s="308">
        <f t="shared" ca="1" si="2"/>
        <v>0</v>
      </c>
      <c r="K25" s="309">
        <f t="shared" ca="1" si="3"/>
        <v>2177700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520">
        <v>4</v>
      </c>
      <c r="C26" s="521" t="s">
        <v>535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1">
        <f>F20*3</f>
        <v>3</v>
      </c>
      <c r="G26" s="307">
        <f ca="1">IF(ISERROR(OFFSET('HARGA SATUAN'!$I$6,MATCH(RAB!C26,'HARGA SATUAN'!$C$7:$C$1495,0),0)),0,OFFSET('HARGA SATUAN'!$I$6,MATCH(RAB!C26,'HARGA SATUAN'!$C$7:$C$1495,0),0))</f>
        <v>848250</v>
      </c>
      <c r="H26" s="308">
        <f t="shared" ref="H26:H57" ca="1" si="4">IF(OR(D26="MDU",D26="MDU-KD"),(IF($O$3="RAB NON MDU","PLN KD",G26*F26)),0)</f>
        <v>2544750</v>
      </c>
      <c r="I26" s="308">
        <f t="shared" ref="I26:I57" ca="1" si="5">IF(D26="HDW",G26*F26,0)</f>
        <v>0</v>
      </c>
      <c r="J26" s="308">
        <f t="shared" ref="J26:J57" ca="1" si="6">IF(D26="JASA",G26*F26,0)</f>
        <v>0</v>
      </c>
      <c r="K26" s="309">
        <f t="shared" ref="K26:K57" ca="1" si="7">SUM(H26:J26)</f>
        <v>2544750</v>
      </c>
      <c r="L26" s="289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520">
        <v>5</v>
      </c>
      <c r="C27" s="521" t="s">
        <v>55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1">
        <f>F20*3</f>
        <v>3</v>
      </c>
      <c r="G27" s="307">
        <f ca="1">IF(ISERROR(OFFSET('HARGA SATUAN'!$I$6,MATCH(RAB!C27,'HARGA SATUAN'!$C$7:$C$1495,0),0)),0,OFFSET('HARGA SATUAN'!$I$6,MATCH(RAB!C27,'HARGA SATUAN'!$C$7:$C$1495,0),0))</f>
        <v>18000</v>
      </c>
      <c r="H27" s="308">
        <f t="shared" ca="1" si="4"/>
        <v>0</v>
      </c>
      <c r="I27" s="308">
        <f t="shared" ca="1" si="5"/>
        <v>54000</v>
      </c>
      <c r="J27" s="308">
        <f t="shared" ca="1" si="6"/>
        <v>0</v>
      </c>
      <c r="K27" s="309">
        <f t="shared" ca="1" si="7"/>
        <v>54000</v>
      </c>
      <c r="L27" s="289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520">
        <v>6</v>
      </c>
      <c r="C28" s="521" t="s">
        <v>1615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1">
        <f>F20*13</f>
        <v>13</v>
      </c>
      <c r="G28" s="307">
        <f ca="1">IF(ISERROR(OFFSET('HARGA SATUAN'!$I$6,MATCH(RAB!C28,'HARGA SATUAN'!$C$7:$C$1495,0),0)),0,OFFSET('HARGA SATUAN'!$I$6,MATCH(RAB!C28,'HARGA SATUAN'!$C$7:$C$1495,0),0))</f>
        <v>49000</v>
      </c>
      <c r="H28" s="308">
        <f t="shared" ca="1" si="4"/>
        <v>0</v>
      </c>
      <c r="I28" s="308">
        <f t="shared" ca="1" si="5"/>
        <v>637000</v>
      </c>
      <c r="J28" s="308">
        <f t="shared" ca="1" si="6"/>
        <v>0</v>
      </c>
      <c r="K28" s="309">
        <f t="shared" ca="1" si="7"/>
        <v>637000</v>
      </c>
      <c r="L28" s="289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520">
        <v>7</v>
      </c>
      <c r="C29" s="521" t="s">
        <v>163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1">
        <f>F20*28</f>
        <v>28</v>
      </c>
      <c r="G29" s="307">
        <f ca="1">IF(ISERROR(OFFSET('HARGA SATUAN'!$I$6,MATCH(RAB!C29,'HARGA SATUAN'!$C$7:$C$1495,0),0)),0,OFFSET('HARGA SATUAN'!$I$6,MATCH(RAB!C29,'HARGA SATUAN'!$C$7:$C$1495,0),0))</f>
        <v>7938</v>
      </c>
      <c r="H29" s="308">
        <f t="shared" ca="1" si="4"/>
        <v>0</v>
      </c>
      <c r="I29" s="308">
        <f t="shared" ca="1" si="5"/>
        <v>222264</v>
      </c>
      <c r="J29" s="308">
        <f t="shared" ca="1" si="6"/>
        <v>0</v>
      </c>
      <c r="K29" s="309">
        <f t="shared" ca="1" si="7"/>
        <v>222264</v>
      </c>
      <c r="L29" s="289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520">
        <v>8</v>
      </c>
      <c r="C30" s="521" t="s">
        <v>176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1">
        <f>F20*2</f>
        <v>2</v>
      </c>
      <c r="G30" s="307">
        <f ca="1">IF(ISERROR(OFFSET('HARGA SATUAN'!$I$6,MATCH(RAB!C30,'HARGA SATUAN'!$C$7:$C$1495,0),0)),0,OFFSET('HARGA SATUAN'!$I$6,MATCH(RAB!C30,'HARGA SATUAN'!$C$7:$C$1495,0),0))</f>
        <v>404600</v>
      </c>
      <c r="H30" s="308">
        <f t="shared" ca="1" si="4"/>
        <v>0</v>
      </c>
      <c r="I30" s="308">
        <f t="shared" ca="1" si="5"/>
        <v>809200</v>
      </c>
      <c r="J30" s="308">
        <f t="shared" ca="1" si="6"/>
        <v>0</v>
      </c>
      <c r="K30" s="309">
        <f t="shared" ca="1" si="7"/>
        <v>809200</v>
      </c>
      <c r="L30" s="289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520">
        <v>9</v>
      </c>
      <c r="C31" s="521" t="s">
        <v>184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1">
        <f>F20*3</f>
        <v>3</v>
      </c>
      <c r="G31" s="307">
        <f ca="1">IF(ISERROR(OFFSET('HARGA SATUAN'!$I$6,MATCH(RAB!C31,'HARGA SATUAN'!$C$7:$C$1495,0),0)),0,OFFSET('HARGA SATUAN'!$I$6,MATCH(RAB!C31,'HARGA SATUAN'!$C$7:$C$1495,0),0))</f>
        <v>15900</v>
      </c>
      <c r="H31" s="308">
        <f t="shared" ca="1" si="4"/>
        <v>0</v>
      </c>
      <c r="I31" s="308">
        <f t="shared" ca="1" si="5"/>
        <v>47700</v>
      </c>
      <c r="J31" s="308">
        <f t="shared" ca="1" si="6"/>
        <v>0</v>
      </c>
      <c r="K31" s="309">
        <f t="shared" ca="1" si="7"/>
        <v>47700</v>
      </c>
      <c r="L31" s="289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520">
        <v>10</v>
      </c>
      <c r="C32" s="521" t="s">
        <v>592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1">
        <f>F20*5</f>
        <v>5</v>
      </c>
      <c r="G32" s="307">
        <f ca="1">IF(ISERROR(OFFSET('HARGA SATUAN'!$I$6,MATCH(RAB!C32,'HARGA SATUAN'!$C$7:$C$1495,0),0)),0,OFFSET('HARGA SATUAN'!$I$6,MATCH(RAB!C32,'HARGA SATUAN'!$C$7:$C$1495,0),0))</f>
        <v>283100</v>
      </c>
      <c r="H32" s="308">
        <f t="shared" ca="1" si="4"/>
        <v>0</v>
      </c>
      <c r="I32" s="308">
        <f t="shared" ca="1" si="5"/>
        <v>1415500</v>
      </c>
      <c r="J32" s="308">
        <f t="shared" ca="1" si="6"/>
        <v>0</v>
      </c>
      <c r="K32" s="309">
        <f t="shared" ca="1" si="7"/>
        <v>1415500</v>
      </c>
      <c r="L32" s="289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520">
        <v>11</v>
      </c>
      <c r="C33" s="521" t="s">
        <v>593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1">
        <f>F20*4</f>
        <v>4</v>
      </c>
      <c r="G33" s="307">
        <f ca="1">IF(ISERROR(OFFSET('HARGA SATUAN'!$I$6,MATCH(RAB!C33,'HARGA SATUAN'!$C$7:$C$1495,0),0)),0,OFFSET('HARGA SATUAN'!$I$6,MATCH(RAB!C33,'HARGA SATUAN'!$C$7:$C$1495,0),0))</f>
        <v>380500</v>
      </c>
      <c r="H33" s="308">
        <f t="shared" ca="1" si="4"/>
        <v>0</v>
      </c>
      <c r="I33" s="308">
        <f t="shared" ca="1" si="5"/>
        <v>1522000</v>
      </c>
      <c r="J33" s="308">
        <f t="shared" ca="1" si="6"/>
        <v>0</v>
      </c>
      <c r="K33" s="309">
        <f t="shared" ca="1" si="7"/>
        <v>1522000</v>
      </c>
      <c r="L33" s="289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520">
        <v>12</v>
      </c>
      <c r="C34" s="521" t="s">
        <v>208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1">
        <f>F20*3</f>
        <v>3</v>
      </c>
      <c r="G34" s="307">
        <f ca="1">IF(ISERROR(OFFSET('HARGA SATUAN'!$I$6,MATCH(RAB!C34,'HARGA SATUAN'!$C$7:$C$1495,0),0)),0,OFFSET('HARGA SATUAN'!$I$6,MATCH(RAB!C34,'HARGA SATUAN'!$C$7:$C$1495,0),0))</f>
        <v>173400</v>
      </c>
      <c r="H34" s="308">
        <f t="shared" ca="1" si="4"/>
        <v>0</v>
      </c>
      <c r="I34" s="308">
        <f t="shared" ca="1" si="5"/>
        <v>520200</v>
      </c>
      <c r="J34" s="308">
        <f t="shared" ca="1" si="6"/>
        <v>0</v>
      </c>
      <c r="K34" s="309">
        <f t="shared" ca="1" si="7"/>
        <v>520200</v>
      </c>
      <c r="L34" s="289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520">
        <v>13</v>
      </c>
      <c r="C35" s="521" t="s">
        <v>247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1">
        <f>F20*2</f>
        <v>2</v>
      </c>
      <c r="G35" s="307">
        <f ca="1">IF(ISERROR(OFFSET('HARGA SATUAN'!$I$6,MATCH(RAB!C35,'HARGA SATUAN'!$C$7:$C$1495,0),0)),0,OFFSET('HARGA SATUAN'!$I$6,MATCH(RAB!C35,'HARGA SATUAN'!$C$7:$C$1495,0),0))</f>
        <v>57690</v>
      </c>
      <c r="H35" s="308">
        <f t="shared" ca="1" si="4"/>
        <v>0</v>
      </c>
      <c r="I35" s="308">
        <f t="shared" ca="1" si="5"/>
        <v>115380</v>
      </c>
      <c r="J35" s="308">
        <f t="shared" ca="1" si="6"/>
        <v>0</v>
      </c>
      <c r="K35" s="309">
        <f t="shared" ca="1" si="7"/>
        <v>115380</v>
      </c>
      <c r="L35" s="289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520">
        <v>14</v>
      </c>
      <c r="C36" s="521" t="s">
        <v>234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1">
        <f>F20*2</f>
        <v>2</v>
      </c>
      <c r="G36" s="307">
        <f ca="1">IF(ISERROR(OFFSET('HARGA SATUAN'!$I$6,MATCH(RAB!C36,'HARGA SATUAN'!$C$7:$C$1495,0),0)),0,OFFSET('HARGA SATUAN'!$I$6,MATCH(RAB!C36,'HARGA SATUAN'!$C$7:$C$1495,0),0))</f>
        <v>67500</v>
      </c>
      <c r="H36" s="308">
        <f t="shared" ca="1" si="4"/>
        <v>0</v>
      </c>
      <c r="I36" s="308">
        <f t="shared" ca="1" si="5"/>
        <v>135000</v>
      </c>
      <c r="J36" s="308">
        <f t="shared" ca="1" si="6"/>
        <v>0</v>
      </c>
      <c r="K36" s="309">
        <f t="shared" ca="1" si="7"/>
        <v>135000</v>
      </c>
      <c r="L36" s="289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520">
        <v>15</v>
      </c>
      <c r="C37" s="521" t="s">
        <v>267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1">
        <f>F20*4</f>
        <v>4</v>
      </c>
      <c r="G37" s="307">
        <f ca="1">IF(ISERROR(OFFSET('HARGA SATUAN'!$I$6,MATCH(RAB!C37,'HARGA SATUAN'!$C$7:$C$1495,0),0)),0,OFFSET('HARGA SATUAN'!$I$6,MATCH(RAB!C37,'HARGA SATUAN'!$C$7:$C$1495,0),0))</f>
        <v>129000</v>
      </c>
      <c r="H37" s="308">
        <f t="shared" ca="1" si="4"/>
        <v>0</v>
      </c>
      <c r="I37" s="308">
        <f t="shared" ca="1" si="5"/>
        <v>516000</v>
      </c>
      <c r="J37" s="308">
        <f t="shared" ca="1" si="6"/>
        <v>0</v>
      </c>
      <c r="K37" s="309">
        <f t="shared" ca="1" si="7"/>
        <v>516000</v>
      </c>
      <c r="L37" s="289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520">
        <v>16</v>
      </c>
      <c r="C38" s="521" t="s">
        <v>607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1">
        <f>F20*1</f>
        <v>1</v>
      </c>
      <c r="G38" s="307">
        <f ca="1">IF(ISERROR(OFFSET('HARGA SATUAN'!$I$6,MATCH(RAB!C38,'HARGA SATUAN'!$C$7:$C$1495,0),0)),0,OFFSET('HARGA SATUAN'!$I$6,MATCH(RAB!C38,'HARGA SATUAN'!$C$7:$C$1495,0),0))</f>
        <v>250000</v>
      </c>
      <c r="H38" s="308">
        <f t="shared" ca="1" si="4"/>
        <v>0</v>
      </c>
      <c r="I38" s="308">
        <f t="shared" ca="1" si="5"/>
        <v>250000</v>
      </c>
      <c r="J38" s="308">
        <f t="shared" ca="1" si="6"/>
        <v>0</v>
      </c>
      <c r="K38" s="309">
        <f t="shared" ca="1" si="7"/>
        <v>250000</v>
      </c>
      <c r="L38" s="289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520">
        <v>17</v>
      </c>
      <c r="C39" s="521" t="s">
        <v>784</v>
      </c>
      <c r="D39" s="305" t="str">
        <f ca="1">IF(ISERROR(OFFSET('HARGA SATUAN'!$D$6,MATCH(RAB!C39,'HARGA SATUAN'!$C$7:$C$1495,0),0)),"",OFFSET('HARGA SATUAN'!$D$6,MATCH(RAB!C39,'HARGA SATUAN'!$C$7:$C$1495,0),0))</f>
        <v>JASA</v>
      </c>
      <c r="E39" s="306" t="str">
        <f ca="1">IF(B39="+","Unit",IF(ISERROR(OFFSET('HARGA SATUAN'!$E$6,MATCH(RAB!C39,'HARGA SATUAN'!$C$7:$C$1495,0),0)),"",OFFSET('HARGA SATUAN'!$E$6,MATCH(RAB!C39,'HARGA SATUAN'!$C$7:$C$1495,0),0)))</f>
        <v>Unit</v>
      </c>
      <c r="F39" s="451"/>
      <c r="G39" s="307">
        <f ca="1">IF(ISERROR(OFFSET('HARGA SATUAN'!$I$6,MATCH(RAB!C39,'HARGA SATUAN'!$C$7:$C$1495,0),0)),0,OFFSET('HARGA SATUAN'!$I$6,MATCH(RAB!C39,'HARGA SATUAN'!$C$7:$C$1495,0),0))</f>
        <v>2953300</v>
      </c>
      <c r="H39" s="308">
        <f ca="1">IF(OR(D39="MDU",D39="MDU-KD"),(IF($O$3="RAB NON MDU","PLN KD",G39*F39)),0)</f>
        <v>0</v>
      </c>
      <c r="I39" s="308">
        <f ca="1">IF(D39="HDW",G39*F39,0)</f>
        <v>0</v>
      </c>
      <c r="J39" s="308">
        <f ca="1">IF(D39="JASA",G39*F39,0)</f>
        <v>0</v>
      </c>
      <c r="K39" s="309">
        <f ca="1">SUM(H39:J39)</f>
        <v>0</v>
      </c>
      <c r="L39" s="289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512"/>
      <c r="C40" s="513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51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4"/>
        <v>0</v>
      </c>
      <c r="I40" s="308">
        <f t="shared" ca="1" si="5"/>
        <v>0</v>
      </c>
      <c r="J40" s="308">
        <f t="shared" ca="1" si="6"/>
        <v>0</v>
      </c>
      <c r="K40" s="309">
        <f t="shared" ca="1" si="7"/>
        <v>0</v>
      </c>
      <c r="L40" s="289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516" t="s">
        <v>1035</v>
      </c>
      <c r="C41" s="518" t="s">
        <v>1625</v>
      </c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>Unit</v>
      </c>
      <c r="F41" s="451">
        <v>2</v>
      </c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4"/>
        <v>0</v>
      </c>
      <c r="I41" s="308">
        <f t="shared" ca="1" si="5"/>
        <v>0</v>
      </c>
      <c r="J41" s="308">
        <f t="shared" ca="1" si="6"/>
        <v>0</v>
      </c>
      <c r="K41" s="309">
        <f t="shared" ca="1" si="7"/>
        <v>0</v>
      </c>
      <c r="L41" s="289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516">
        <v>1</v>
      </c>
      <c r="C42" s="519" t="s">
        <v>29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1">
        <f>F41*1</f>
        <v>2</v>
      </c>
      <c r="G42" s="307">
        <f ca="1">IF(ISERROR(OFFSET('HARGA SATUAN'!$I$6,MATCH(RAB!C42,'HARGA SATUAN'!$C$7:$C$1495,0),0)),0,OFFSET('HARGA SATUAN'!$I$6,MATCH(RAB!C42,'HARGA SATUAN'!$C$7:$C$1495,0),0))</f>
        <v>185200</v>
      </c>
      <c r="H42" s="308">
        <f t="shared" ca="1" si="4"/>
        <v>0</v>
      </c>
      <c r="I42" s="308">
        <f t="shared" ca="1" si="5"/>
        <v>370400</v>
      </c>
      <c r="J42" s="308">
        <f t="shared" ca="1" si="6"/>
        <v>0</v>
      </c>
      <c r="K42" s="309">
        <f t="shared" ca="1" si="7"/>
        <v>370400</v>
      </c>
      <c r="L42" s="289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514">
        <v>2</v>
      </c>
      <c r="C43" s="515" t="s">
        <v>30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51">
        <f>F41*1</f>
        <v>2</v>
      </c>
      <c r="G43" s="307">
        <f ca="1">IF(ISERROR(OFFSET('HARGA SATUAN'!$I$6,MATCH(RAB!C43,'HARGA SATUAN'!$C$7:$C$1495,0),0)),0,OFFSET('HARGA SATUAN'!$I$6,MATCH(RAB!C43,'HARGA SATUAN'!$C$7:$C$1495,0),0))</f>
        <v>47459</v>
      </c>
      <c r="H43" s="308">
        <f t="shared" ca="1" si="4"/>
        <v>0</v>
      </c>
      <c r="I43" s="308">
        <f t="shared" ca="1" si="5"/>
        <v>94918</v>
      </c>
      <c r="J43" s="308">
        <f t="shared" ca="1" si="6"/>
        <v>0</v>
      </c>
      <c r="K43" s="309">
        <f t="shared" ca="1" si="7"/>
        <v>94918</v>
      </c>
      <c r="L43" s="289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514">
        <v>3</v>
      </c>
      <c r="C44" s="515" t="s">
        <v>31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51">
        <f>F41*1</f>
        <v>2</v>
      </c>
      <c r="G44" s="307">
        <f ca="1">IF(ISERROR(OFFSET('HARGA SATUAN'!$I$6,MATCH(RAB!C44,'HARGA SATUAN'!$C$7:$C$1495,0),0)),0,OFFSET('HARGA SATUAN'!$I$6,MATCH(RAB!C44,'HARGA SATUAN'!$C$7:$C$1495,0),0))</f>
        <v>4880</v>
      </c>
      <c r="H44" s="308">
        <f t="shared" ca="1" si="4"/>
        <v>0</v>
      </c>
      <c r="I44" s="308">
        <f t="shared" ca="1" si="5"/>
        <v>9760</v>
      </c>
      <c r="J44" s="308">
        <f t="shared" ca="1" si="6"/>
        <v>0</v>
      </c>
      <c r="K44" s="309">
        <f t="shared" ca="1" si="7"/>
        <v>9760</v>
      </c>
      <c r="L44" s="289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514">
        <v>4</v>
      </c>
      <c r="C45" s="515" t="s">
        <v>32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Mtr</v>
      </c>
      <c r="F45" s="451">
        <f>F41*10</f>
        <v>20</v>
      </c>
      <c r="G45" s="307">
        <f ca="1">IF(ISERROR(OFFSET('HARGA SATUAN'!$I$6,MATCH(RAB!C45,'HARGA SATUAN'!$C$7:$C$1495,0),0)),0,OFFSET('HARGA SATUAN'!$I$6,MATCH(RAB!C45,'HARGA SATUAN'!$C$7:$C$1495,0),0))</f>
        <v>30000</v>
      </c>
      <c r="H45" s="308">
        <f t="shared" ca="1" si="4"/>
        <v>0</v>
      </c>
      <c r="I45" s="308">
        <f t="shared" ca="1" si="5"/>
        <v>600000</v>
      </c>
      <c r="J45" s="308">
        <f t="shared" ca="1" si="6"/>
        <v>0</v>
      </c>
      <c r="K45" s="309">
        <f t="shared" ca="1" si="7"/>
        <v>600000</v>
      </c>
      <c r="L45" s="289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514">
        <v>5</v>
      </c>
      <c r="C46" s="515" t="s">
        <v>33</v>
      </c>
      <c r="D46" s="305" t="str">
        <f ca="1">IF(ISERROR(OFFSET('HARGA SATUAN'!$D$6,MATCH(RAB!C46,'HARGA SATUAN'!$C$7:$C$1495,0),0)),"",OFFSET('HARGA SATUAN'!$D$6,MATCH(RAB!C46,'HARGA SATUAN'!$C$7:$C$1495,0),0))</f>
        <v>HDW</v>
      </c>
      <c r="E46" s="306" t="str">
        <f ca="1">IF(B46="+","Unit",IF(ISERROR(OFFSET('HARGA SATUAN'!$E$6,MATCH(RAB!C46,'HARGA SATUAN'!$C$7:$C$1495,0),0)),"",OFFSET('HARGA SATUAN'!$E$6,MATCH(RAB!C46,'HARGA SATUAN'!$C$7:$C$1495,0),0)))</f>
        <v>Bh</v>
      </c>
      <c r="F46" s="451">
        <f>F41*2</f>
        <v>4</v>
      </c>
      <c r="G46" s="307">
        <f ca="1">IF(ISERROR(OFFSET('HARGA SATUAN'!$I$6,MATCH(RAB!C46,'HARGA SATUAN'!$C$7:$C$1495,0),0)),0,OFFSET('HARGA SATUAN'!$I$6,MATCH(RAB!C46,'HARGA SATUAN'!$C$7:$C$1495,0),0))</f>
        <v>9500</v>
      </c>
      <c r="H46" s="308">
        <f t="shared" ca="1" si="4"/>
        <v>0</v>
      </c>
      <c r="I46" s="308">
        <f t="shared" ca="1" si="5"/>
        <v>38000</v>
      </c>
      <c r="J46" s="308">
        <f t="shared" ca="1" si="6"/>
        <v>0</v>
      </c>
      <c r="K46" s="309">
        <f t="shared" ca="1" si="7"/>
        <v>38000</v>
      </c>
      <c r="L46" s="289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514">
        <v>6</v>
      </c>
      <c r="C47" s="515" t="s">
        <v>34</v>
      </c>
      <c r="D47" s="305" t="str">
        <f ca="1">IF(ISERROR(OFFSET('HARGA SATUAN'!$D$6,MATCH(RAB!C47,'HARGA SATUAN'!$C$7:$C$1495,0),0)),"",OFFSET('HARGA SATUAN'!$D$6,MATCH(RAB!C47,'HARGA SATUAN'!$C$7:$C$1495,0),0))</f>
        <v>HDW</v>
      </c>
      <c r="E47" s="306" t="str">
        <f ca="1">IF(B47="+","Unit",IF(ISERROR(OFFSET('HARGA SATUAN'!$E$6,MATCH(RAB!C47,'HARGA SATUAN'!$C$7:$C$1495,0),0)),"",OFFSET('HARGA SATUAN'!$E$6,MATCH(RAB!C47,'HARGA SATUAN'!$C$7:$C$1495,0),0)))</f>
        <v>Bh</v>
      </c>
      <c r="F47" s="451">
        <f>F41*5.5</f>
        <v>11</v>
      </c>
      <c r="G47" s="307">
        <f ca="1">IF(ISERROR(OFFSET('HARGA SATUAN'!$I$6,MATCH(RAB!C47,'HARGA SATUAN'!$C$7:$C$1495,0),0)),0,OFFSET('HARGA SATUAN'!$I$6,MATCH(RAB!C47,'HARGA SATUAN'!$C$7:$C$1495,0),0))</f>
        <v>6100</v>
      </c>
      <c r="H47" s="308">
        <f t="shared" ca="1" si="4"/>
        <v>0</v>
      </c>
      <c r="I47" s="308">
        <f t="shared" ca="1" si="5"/>
        <v>67100</v>
      </c>
      <c r="J47" s="308">
        <f t="shared" ca="1" si="6"/>
        <v>0</v>
      </c>
      <c r="K47" s="309">
        <f t="shared" ca="1" si="7"/>
        <v>67100</v>
      </c>
      <c r="L47" s="289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514">
        <v>7</v>
      </c>
      <c r="C48" s="515" t="s">
        <v>35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451">
        <f>F41*6</f>
        <v>12</v>
      </c>
      <c r="G48" s="307">
        <f ca="1">IF(ISERROR(OFFSET('HARGA SATUAN'!$I$6,MATCH(RAB!C48,'HARGA SATUAN'!$C$7:$C$1495,0),0)),0,OFFSET('HARGA SATUAN'!$I$6,MATCH(RAB!C48,'HARGA SATUAN'!$C$7:$C$1495,0),0))</f>
        <v>2300</v>
      </c>
      <c r="H48" s="308">
        <f t="shared" ca="1" si="4"/>
        <v>0</v>
      </c>
      <c r="I48" s="308">
        <f t="shared" ca="1" si="5"/>
        <v>27600</v>
      </c>
      <c r="J48" s="308">
        <f t="shared" ca="1" si="6"/>
        <v>0</v>
      </c>
      <c r="K48" s="309">
        <f t="shared" ca="1" si="7"/>
        <v>27600</v>
      </c>
      <c r="L48" s="289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514">
        <v>8</v>
      </c>
      <c r="C49" s="515" t="s">
        <v>1628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Mtr</v>
      </c>
      <c r="F49" s="451">
        <f>F41*4.8</f>
        <v>9.6</v>
      </c>
      <c r="G49" s="307">
        <f ca="1">IF(ISERROR(OFFSET('HARGA SATUAN'!$I$6,MATCH(RAB!C49,'HARGA SATUAN'!$C$7:$C$1495,0),0)),0,OFFSET('HARGA SATUAN'!$I$6,MATCH(RAB!C49,'HARGA SATUAN'!$C$7:$C$1495,0),0))</f>
        <v>23310</v>
      </c>
      <c r="H49" s="308">
        <f t="shared" ca="1" si="4"/>
        <v>0</v>
      </c>
      <c r="I49" s="308">
        <f t="shared" ca="1" si="5"/>
        <v>223776</v>
      </c>
      <c r="J49" s="308">
        <f t="shared" ca="1" si="6"/>
        <v>0</v>
      </c>
      <c r="K49" s="309">
        <f t="shared" ca="1" si="7"/>
        <v>223776</v>
      </c>
      <c r="L49" s="289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514">
        <v>9</v>
      </c>
      <c r="C50" s="515" t="s">
        <v>736</v>
      </c>
      <c r="D50" s="305" t="str">
        <f ca="1">IF(ISERROR(OFFSET('HARGA SATUAN'!$D$6,MATCH(RAB!C50,'HARGA SATUAN'!$C$7:$C$1495,0),0)),"",OFFSET('HARGA SATUAN'!$D$6,MATCH(RAB!C50,'HARGA SATUAN'!$C$7:$C$1495,0),0))</f>
        <v>JASA</v>
      </c>
      <c r="E50" s="306" t="str">
        <f ca="1">IF(B50="+","Unit",IF(ISERROR(OFFSET('HARGA SATUAN'!$E$6,MATCH(RAB!C50,'HARGA SATUAN'!$C$7:$C$1495,0),0)),"",OFFSET('HARGA SATUAN'!$E$6,MATCH(RAB!C50,'HARGA SATUAN'!$C$7:$C$1495,0),0)))</f>
        <v>Unit</v>
      </c>
      <c r="F50" s="451">
        <f>F41*1</f>
        <v>2</v>
      </c>
      <c r="G50" s="307">
        <f ca="1">IF(ISERROR(OFFSET('HARGA SATUAN'!$I$6,MATCH(RAB!C50,'HARGA SATUAN'!$C$7:$C$1495,0),0)),0,OFFSET('HARGA SATUAN'!$I$6,MATCH(RAB!C50,'HARGA SATUAN'!$C$7:$C$1495,0),0))</f>
        <v>65400</v>
      </c>
      <c r="H50" s="308">
        <f t="shared" ca="1" si="4"/>
        <v>0</v>
      </c>
      <c r="I50" s="308">
        <f t="shared" ca="1" si="5"/>
        <v>0</v>
      </c>
      <c r="J50" s="308">
        <f t="shared" ca="1" si="6"/>
        <v>130800</v>
      </c>
      <c r="K50" s="309">
        <f t="shared" ca="1" si="7"/>
        <v>130800</v>
      </c>
      <c r="L50" s="289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514"/>
      <c r="C51" s="515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1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4"/>
        <v>0</v>
      </c>
      <c r="I51" s="308">
        <f t="shared" ca="1" si="5"/>
        <v>0</v>
      </c>
      <c r="J51" s="308">
        <f t="shared" ca="1" si="6"/>
        <v>0</v>
      </c>
      <c r="K51" s="309">
        <f t="shared" ca="1" si="7"/>
        <v>0</v>
      </c>
      <c r="L51" s="289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725" t="s">
        <v>1035</v>
      </c>
      <c r="C52" s="726" t="s">
        <v>1640</v>
      </c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>Unit</v>
      </c>
      <c r="F52" s="451">
        <v>3</v>
      </c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4"/>
        <v>0</v>
      </c>
      <c r="I52" s="308">
        <f t="shared" ca="1" si="5"/>
        <v>0</v>
      </c>
      <c r="J52" s="308">
        <f t="shared" ca="1" si="6"/>
        <v>0</v>
      </c>
      <c r="K52" s="309">
        <f t="shared" ca="1" si="7"/>
        <v>0</v>
      </c>
      <c r="L52" s="289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725">
        <v>1</v>
      </c>
      <c r="C53" s="726" t="s">
        <v>595</v>
      </c>
      <c r="D53" s="305" t="str">
        <f ca="1">IF(ISERROR(OFFSET('HARGA SATUAN'!$D$6,MATCH(RAB!C53,'HARGA SATUAN'!$C$7:$C$1495,0),0)),"",OFFSET('HARGA SATUAN'!$D$6,MATCH(RAB!C53,'HARGA SATUAN'!$C$7:$C$1495,0),0))</f>
        <v>HDW</v>
      </c>
      <c r="E53" s="306" t="str">
        <f ca="1">IF(B53="+","Unit",IF(ISERROR(OFFSET('HARGA SATUAN'!$E$6,MATCH(RAB!C53,'HARGA SATUAN'!$C$7:$C$1495,0),0)),"",OFFSET('HARGA SATUAN'!$E$6,MATCH(RAB!C53,'HARGA SATUAN'!$C$7:$C$1495,0),0)))</f>
        <v>Bh</v>
      </c>
      <c r="F53" s="451">
        <f>F52*1</f>
        <v>3</v>
      </c>
      <c r="G53" s="307">
        <f ca="1">IF(ISERROR(OFFSET('HARGA SATUAN'!$I$6,MATCH(RAB!C53,'HARGA SATUAN'!$C$7:$C$1495,0),0)),0,OFFSET('HARGA SATUAN'!$I$6,MATCH(RAB!C53,'HARGA SATUAN'!$C$7:$C$1495,0),0))</f>
        <v>78500</v>
      </c>
      <c r="H53" s="308">
        <f t="shared" ca="1" si="4"/>
        <v>0</v>
      </c>
      <c r="I53" s="308">
        <f t="shared" ca="1" si="5"/>
        <v>235500</v>
      </c>
      <c r="J53" s="308">
        <f t="shared" ca="1" si="6"/>
        <v>0</v>
      </c>
      <c r="K53" s="309">
        <f t="shared" ca="1" si="7"/>
        <v>235500</v>
      </c>
      <c r="L53" s="289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725">
        <v>2</v>
      </c>
      <c r="C54" s="726" t="s">
        <v>229</v>
      </c>
      <c r="D54" s="305" t="str">
        <f ca="1">IF(ISERROR(OFFSET('HARGA SATUAN'!$D$6,MATCH(RAB!C54,'HARGA SATUAN'!$C$7:$C$1495,0),0)),"",OFFSET('HARGA SATUAN'!$D$6,MATCH(RAB!C54,'HARGA SATUAN'!$C$7:$C$1495,0),0))</f>
        <v>HDW</v>
      </c>
      <c r="E54" s="306" t="str">
        <f ca="1">IF(B54="+","Unit",IF(ISERROR(OFFSET('HARGA SATUAN'!$E$6,MATCH(RAB!C54,'HARGA SATUAN'!$C$7:$C$1495,0),0)),"",OFFSET('HARGA SATUAN'!$E$6,MATCH(RAB!C54,'HARGA SATUAN'!$C$7:$C$1495,0),0)))</f>
        <v>Bh</v>
      </c>
      <c r="F54" s="451">
        <f>F52*1</f>
        <v>3</v>
      </c>
      <c r="G54" s="307">
        <f ca="1">IF(ISERROR(OFFSET('HARGA SATUAN'!$I$6,MATCH(RAB!C54,'HARGA SATUAN'!$C$7:$C$1495,0),0)),0,OFFSET('HARGA SATUAN'!$I$6,MATCH(RAB!C54,'HARGA SATUAN'!$C$7:$C$1495,0),0))</f>
        <v>4212</v>
      </c>
      <c r="H54" s="308">
        <f t="shared" ca="1" si="4"/>
        <v>0</v>
      </c>
      <c r="I54" s="308">
        <f t="shared" ca="1" si="5"/>
        <v>12636</v>
      </c>
      <c r="J54" s="308">
        <f t="shared" ca="1" si="6"/>
        <v>0</v>
      </c>
      <c r="K54" s="309">
        <f t="shared" ca="1" si="7"/>
        <v>12636</v>
      </c>
      <c r="L54" s="289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725">
        <v>3</v>
      </c>
      <c r="C55" s="726" t="s">
        <v>266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Mtr</v>
      </c>
      <c r="F55" s="451">
        <f>F52*1</f>
        <v>3</v>
      </c>
      <c r="G55" s="307">
        <f ca="1">IF(ISERROR(OFFSET('HARGA SATUAN'!$I$6,MATCH(RAB!C55,'HARGA SATUAN'!$C$7:$C$1495,0),0)),0,OFFSET('HARGA SATUAN'!$I$6,MATCH(RAB!C55,'HARGA SATUAN'!$C$7:$C$1495,0),0))</f>
        <v>23310</v>
      </c>
      <c r="H55" s="308">
        <f t="shared" ca="1" si="4"/>
        <v>0</v>
      </c>
      <c r="I55" s="308">
        <f t="shared" ca="1" si="5"/>
        <v>69930</v>
      </c>
      <c r="J55" s="308">
        <f t="shared" ca="1" si="6"/>
        <v>0</v>
      </c>
      <c r="K55" s="309">
        <f t="shared" ca="1" si="7"/>
        <v>69930</v>
      </c>
      <c r="L55" s="289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725">
        <v>4</v>
      </c>
      <c r="C56" s="726" t="s">
        <v>35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451">
        <f>F52*1</f>
        <v>3</v>
      </c>
      <c r="G56" s="307">
        <f ca="1">IF(ISERROR(OFFSET('HARGA SATUAN'!$I$6,MATCH(RAB!C56,'HARGA SATUAN'!$C$7:$C$1495,0),0)),0,OFFSET('HARGA SATUAN'!$I$6,MATCH(RAB!C56,'HARGA SATUAN'!$C$7:$C$1495,0),0))</f>
        <v>2300</v>
      </c>
      <c r="H56" s="308">
        <f t="shared" ca="1" si="4"/>
        <v>0</v>
      </c>
      <c r="I56" s="308">
        <f t="shared" ca="1" si="5"/>
        <v>6900</v>
      </c>
      <c r="J56" s="308">
        <f t="shared" ca="1" si="6"/>
        <v>0</v>
      </c>
      <c r="K56" s="309">
        <f t="shared" ca="1" si="7"/>
        <v>6900</v>
      </c>
      <c r="L56" s="289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725">
        <v>5</v>
      </c>
      <c r="C57" s="726" t="s">
        <v>630</v>
      </c>
      <c r="D57" s="305" t="str">
        <f ca="1">IF(ISERROR(OFFSET('HARGA SATUAN'!$D$6,MATCH(RAB!C57,'HARGA SATUAN'!$C$7:$C$1495,0),0)),"",OFFSET('HARGA SATUAN'!$D$6,MATCH(RAB!C57,'HARGA SATUAN'!$C$7:$C$1495,0),0))</f>
        <v>JASA</v>
      </c>
      <c r="E57" s="306" t="str">
        <f ca="1">IF(B57="+","Unit",IF(ISERROR(OFFSET('HARGA SATUAN'!$E$6,MATCH(RAB!C57,'HARGA SATUAN'!$C$7:$C$1495,0),0)),"",OFFSET('HARGA SATUAN'!$E$6,MATCH(RAB!C57,'HARGA SATUAN'!$C$7:$C$1495,0),0)))</f>
        <v>Unit</v>
      </c>
      <c r="F57" s="451">
        <f>F52*1</f>
        <v>3</v>
      </c>
      <c r="G57" s="307">
        <f ca="1">IF(ISERROR(OFFSET('HARGA SATUAN'!$I$6,MATCH(RAB!C57,'HARGA SATUAN'!$C$7:$C$1495,0),0)),0,OFFSET('HARGA SATUAN'!$I$6,MATCH(RAB!C57,'HARGA SATUAN'!$C$7:$C$1495,0),0))</f>
        <v>35700</v>
      </c>
      <c r="H57" s="308">
        <f t="shared" ca="1" si="4"/>
        <v>0</v>
      </c>
      <c r="I57" s="308">
        <f t="shared" ca="1" si="5"/>
        <v>0</v>
      </c>
      <c r="J57" s="308">
        <f t="shared" ca="1" si="6"/>
        <v>107100</v>
      </c>
      <c r="K57" s="309">
        <f t="shared" ca="1" si="7"/>
        <v>107100</v>
      </c>
      <c r="L57" s="289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420"/>
      <c r="C58" s="417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1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ref="H58:H83" ca="1" si="8">IF(OR(D58="MDU",D58="MDU-KD"),(IF($O$3="RAB NON MDU","PLN KD",G58*F58)),0)</f>
        <v>0</v>
      </c>
      <c r="I58" s="308">
        <f t="shared" ref="I58:I83" ca="1" si="9">IF(D58="HDW",G58*F58,0)</f>
        <v>0</v>
      </c>
      <c r="J58" s="308">
        <f t="shared" ref="J58:J83" ca="1" si="10">IF(D58="JASA",G58*F58,0)</f>
        <v>0</v>
      </c>
      <c r="K58" s="309">
        <f t="shared" ref="K58:K83" ca="1" si="11">SUM(H58:J58)</f>
        <v>0</v>
      </c>
      <c r="L58" s="316"/>
      <c r="M58" s="289" t="e">
        <f>IF(AND(F58&gt;0,#REF!=0),"",IF(AND(ISBLANK(F58)=FALSE,K58=0),"WARNING",""))</f>
        <v>#REF!</v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20">
        <v>10</v>
      </c>
      <c r="C59" s="417" t="s">
        <v>1615</v>
      </c>
      <c r="D59" s="305" t="str">
        <f ca="1">IF(ISERROR(OFFSET('HARGA SATUAN'!$D$6,MATCH(RAB!C59,'HARGA SATUAN'!$C$7:$C$1495,0),0)),"",OFFSET('HARGA SATUAN'!$D$6,MATCH(RAB!C59,'HARGA SATUAN'!$C$7:$C$1495,0),0))</f>
        <v>HDW</v>
      </c>
      <c r="E59" s="306" t="str">
        <f ca="1">IF(B59="+","Unit",IF(ISERROR(OFFSET('HARGA SATUAN'!$E$6,MATCH(RAB!C59,'HARGA SATUAN'!$C$7:$C$1495,0),0)),"",OFFSET('HARGA SATUAN'!$E$6,MATCH(RAB!C59,'HARGA SATUAN'!$C$7:$C$1495,0),0)))</f>
        <v>Bh</v>
      </c>
      <c r="F59" s="453"/>
      <c r="G59" s="307">
        <f ca="1">IF(ISERROR(OFFSET('HARGA SATUAN'!$I$6,MATCH(RAB!C59,'HARGA SATUAN'!$C$7:$C$1495,0),0)),0,OFFSET('HARGA SATUAN'!$I$6,MATCH(RAB!C59,'HARGA SATUAN'!$C$7:$C$1495,0),0))</f>
        <v>49000</v>
      </c>
      <c r="H59" s="308">
        <f t="shared" ca="1" si="8"/>
        <v>0</v>
      </c>
      <c r="I59" s="308">
        <f t="shared" ca="1" si="9"/>
        <v>0</v>
      </c>
      <c r="J59" s="308">
        <f t="shared" ca="1" si="10"/>
        <v>0</v>
      </c>
      <c r="K59" s="309">
        <f t="shared" ca="1" si="11"/>
        <v>0</v>
      </c>
      <c r="L59" s="316"/>
      <c r="M59" s="289" t="str">
        <f t="shared" ref="M59:M97" ca="1" si="12">IF(AND(F59&gt;0,F58=0),"",IF(AND(ISBLANK(F59)=FALSE,K59=0),"WARNING",""))</f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49"/>
      <c r="C60" s="450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3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8"/>
        <v>0</v>
      </c>
      <c r="I60" s="308">
        <f t="shared" ca="1" si="9"/>
        <v>0</v>
      </c>
      <c r="J60" s="308">
        <f t="shared" ca="1" si="10"/>
        <v>0</v>
      </c>
      <c r="K60" s="309">
        <f t="shared" ca="1" si="11"/>
        <v>0</v>
      </c>
      <c r="L60" s="316"/>
      <c r="M60" s="289" t="str">
        <f t="shared" ca="1" si="12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49"/>
      <c r="C61" s="450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3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8"/>
        <v>0</v>
      </c>
      <c r="I61" s="308">
        <f t="shared" ca="1" si="9"/>
        <v>0</v>
      </c>
      <c r="J61" s="308">
        <f t="shared" ca="1" si="10"/>
        <v>0</v>
      </c>
      <c r="K61" s="309">
        <f t="shared" ca="1" si="11"/>
        <v>0</v>
      </c>
      <c r="L61" s="316"/>
      <c r="M61" s="289" t="str">
        <f t="shared" ca="1" si="12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49"/>
      <c r="C62" s="450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3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8"/>
        <v>0</v>
      </c>
      <c r="I62" s="308">
        <f t="shared" ca="1" si="9"/>
        <v>0</v>
      </c>
      <c r="J62" s="308">
        <f t="shared" ca="1" si="10"/>
        <v>0</v>
      </c>
      <c r="K62" s="309">
        <f t="shared" ca="1" si="11"/>
        <v>0</v>
      </c>
      <c r="L62" s="316"/>
      <c r="M62" s="289" t="str">
        <f t="shared" ca="1" si="12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49"/>
      <c r="C63" s="450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3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8"/>
        <v>0</v>
      </c>
      <c r="I63" s="308">
        <f t="shared" ca="1" si="9"/>
        <v>0</v>
      </c>
      <c r="J63" s="308">
        <f t="shared" ca="1" si="10"/>
        <v>0</v>
      </c>
      <c r="K63" s="309">
        <f t="shared" ca="1" si="11"/>
        <v>0</v>
      </c>
      <c r="L63" s="316"/>
      <c r="M63" s="289" t="str">
        <f t="shared" ca="1" si="12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49"/>
      <c r="C64" s="450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3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8"/>
        <v>0</v>
      </c>
      <c r="I64" s="308">
        <f t="shared" ca="1" si="9"/>
        <v>0</v>
      </c>
      <c r="J64" s="308">
        <f t="shared" ca="1" si="10"/>
        <v>0</v>
      </c>
      <c r="K64" s="309">
        <f t="shared" ca="1" si="11"/>
        <v>0</v>
      </c>
      <c r="L64" s="316"/>
      <c r="M64" s="289" t="str">
        <f t="shared" ca="1" si="12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49"/>
      <c r="C65" s="450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3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8"/>
        <v>0</v>
      </c>
      <c r="I65" s="308">
        <f t="shared" ca="1" si="9"/>
        <v>0</v>
      </c>
      <c r="J65" s="308">
        <f t="shared" ca="1" si="10"/>
        <v>0</v>
      </c>
      <c r="K65" s="309">
        <f t="shared" ca="1" si="11"/>
        <v>0</v>
      </c>
      <c r="L65" s="316"/>
      <c r="M65" s="289" t="str">
        <f t="shared" ca="1" si="12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idden="1">
      <c r="A66" s="283"/>
      <c r="B66" s="449"/>
      <c r="C66" s="450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3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8"/>
        <v>0</v>
      </c>
      <c r="I66" s="308">
        <f t="shared" ca="1" si="9"/>
        <v>0</v>
      </c>
      <c r="J66" s="308">
        <f t="shared" ca="1" si="10"/>
        <v>0</v>
      </c>
      <c r="K66" s="309">
        <f t="shared" ca="1" si="11"/>
        <v>0</v>
      </c>
      <c r="L66" s="316"/>
      <c r="M66" s="289" t="str">
        <f t="shared" ca="1" si="12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idden="1">
      <c r="A67" s="283"/>
      <c r="B67" s="449"/>
      <c r="C67" s="450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53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8"/>
        <v>0</v>
      </c>
      <c r="I67" s="308">
        <f t="shared" ca="1" si="9"/>
        <v>0</v>
      </c>
      <c r="J67" s="308">
        <f t="shared" ca="1" si="10"/>
        <v>0</v>
      </c>
      <c r="K67" s="309">
        <f t="shared" ca="1" si="11"/>
        <v>0</v>
      </c>
      <c r="L67" s="316"/>
      <c r="M67" s="289" t="str">
        <f t="shared" ca="1" si="12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idden="1">
      <c r="A68" s="283"/>
      <c r="B68" s="449"/>
      <c r="C68" s="450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53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8"/>
        <v>0</v>
      </c>
      <c r="I68" s="308">
        <f t="shared" ca="1" si="9"/>
        <v>0</v>
      </c>
      <c r="J68" s="308">
        <f t="shared" ca="1" si="10"/>
        <v>0</v>
      </c>
      <c r="K68" s="309">
        <f t="shared" ca="1" si="11"/>
        <v>0</v>
      </c>
      <c r="L68" s="316"/>
      <c r="M68" s="289" t="str">
        <f t="shared" ca="1" si="12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 hidden="1">
      <c r="A69" s="283"/>
      <c r="B69" s="449"/>
      <c r="C69" s="450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53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8"/>
        <v>0</v>
      </c>
      <c r="I69" s="308">
        <f t="shared" ca="1" si="9"/>
        <v>0</v>
      </c>
      <c r="J69" s="308">
        <f t="shared" ca="1" si="10"/>
        <v>0</v>
      </c>
      <c r="K69" s="309">
        <f t="shared" ca="1" si="11"/>
        <v>0</v>
      </c>
      <c r="L69" s="316"/>
      <c r="M69" s="289" t="str">
        <f t="shared" ca="1" si="12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 hidden="1">
      <c r="A70" s="283"/>
      <c r="B70" s="449"/>
      <c r="C70" s="450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53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8"/>
        <v>0</v>
      </c>
      <c r="I70" s="308">
        <f t="shared" ca="1" si="9"/>
        <v>0</v>
      </c>
      <c r="J70" s="308">
        <f t="shared" ca="1" si="10"/>
        <v>0</v>
      </c>
      <c r="K70" s="309">
        <f t="shared" ca="1" si="11"/>
        <v>0</v>
      </c>
      <c r="L70" s="316"/>
      <c r="M70" s="289" t="str">
        <f t="shared" ca="1" si="12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 hidden="1">
      <c r="A71" s="283"/>
      <c r="B71" s="449"/>
      <c r="C71" s="450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53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8"/>
        <v>0</v>
      </c>
      <c r="I71" s="308">
        <f t="shared" ca="1" si="9"/>
        <v>0</v>
      </c>
      <c r="J71" s="308">
        <f t="shared" ca="1" si="10"/>
        <v>0</v>
      </c>
      <c r="K71" s="309">
        <f t="shared" ca="1" si="11"/>
        <v>0</v>
      </c>
      <c r="L71" s="316"/>
      <c r="M71" s="289" t="str">
        <f t="shared" ca="1" si="12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idden="1">
      <c r="A72" s="283"/>
      <c r="B72" s="449"/>
      <c r="C72" s="450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53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8"/>
        <v>0</v>
      </c>
      <c r="I72" s="308">
        <f t="shared" ca="1" si="9"/>
        <v>0</v>
      </c>
      <c r="J72" s="308">
        <f t="shared" ca="1" si="10"/>
        <v>0</v>
      </c>
      <c r="K72" s="309">
        <f t="shared" ca="1" si="11"/>
        <v>0</v>
      </c>
      <c r="L72" s="316"/>
      <c r="M72" s="289" t="str">
        <f t="shared" ca="1" si="12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idden="1">
      <c r="A73" s="283"/>
      <c r="B73" s="449"/>
      <c r="C73" s="450"/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53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8"/>
        <v>0</v>
      </c>
      <c r="I73" s="308">
        <f t="shared" ca="1" si="9"/>
        <v>0</v>
      </c>
      <c r="J73" s="308">
        <f t="shared" ca="1" si="10"/>
        <v>0</v>
      </c>
      <c r="K73" s="309">
        <f t="shared" ca="1" si="11"/>
        <v>0</v>
      </c>
      <c r="L73" s="316"/>
      <c r="M73" s="289" t="str">
        <f t="shared" ca="1" si="12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idden="1">
      <c r="A74" s="283"/>
      <c r="B74" s="449"/>
      <c r="C74" s="450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53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8"/>
        <v>0</v>
      </c>
      <c r="I74" s="308">
        <f t="shared" ca="1" si="9"/>
        <v>0</v>
      </c>
      <c r="J74" s="308">
        <f t="shared" ca="1" si="10"/>
        <v>0</v>
      </c>
      <c r="K74" s="309">
        <f t="shared" ca="1" si="11"/>
        <v>0</v>
      </c>
      <c r="L74" s="316"/>
      <c r="M74" s="289" t="str">
        <f t="shared" ca="1" si="12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idden="1">
      <c r="A75" s="283"/>
      <c r="B75" s="449"/>
      <c r="C75" s="450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53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8"/>
        <v>0</v>
      </c>
      <c r="I75" s="308">
        <f t="shared" ca="1" si="9"/>
        <v>0</v>
      </c>
      <c r="J75" s="308">
        <f t="shared" ca="1" si="10"/>
        <v>0</v>
      </c>
      <c r="K75" s="309">
        <f t="shared" ca="1" si="11"/>
        <v>0</v>
      </c>
      <c r="L75" s="316"/>
      <c r="M75" s="289" t="str">
        <f t="shared" ca="1" si="12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 hidden="1">
      <c r="A76" s="283"/>
      <c r="B76" s="449"/>
      <c r="C76" s="450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453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ca="1" si="8"/>
        <v>0</v>
      </c>
      <c r="I76" s="308">
        <f t="shared" ca="1" si="9"/>
        <v>0</v>
      </c>
      <c r="J76" s="308">
        <f t="shared" ca="1" si="10"/>
        <v>0</v>
      </c>
      <c r="K76" s="309">
        <f t="shared" ca="1" si="11"/>
        <v>0</v>
      </c>
      <c r="L76" s="316"/>
      <c r="M76" s="289" t="str">
        <f t="shared" ca="1" si="12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 hidden="1">
      <c r="A77" s="283"/>
      <c r="B77" s="449"/>
      <c r="C77" s="450"/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IF(B77="+","Unit",IF(ISERROR(OFFSET('HARGA SATUAN'!$E$6,MATCH(RAB!C77,'HARGA SATUAN'!$C$7:$C$1495,0),0)),"",OFFSET('HARGA SATUAN'!$E$6,MATCH(RAB!C77,'HARGA SATUAN'!$C$7:$C$1495,0),0)))</f>
        <v/>
      </c>
      <c r="F77" s="453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8"/>
        <v>0</v>
      </c>
      <c r="I77" s="308">
        <f t="shared" ca="1" si="9"/>
        <v>0</v>
      </c>
      <c r="J77" s="308">
        <f t="shared" ca="1" si="10"/>
        <v>0</v>
      </c>
      <c r="K77" s="309">
        <f t="shared" ca="1" si="11"/>
        <v>0</v>
      </c>
      <c r="L77" s="316"/>
      <c r="M77" s="289" t="str">
        <f t="shared" ca="1" si="12"/>
        <v/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 hidden="1">
      <c r="A78" s="283"/>
      <c r="B78" s="449"/>
      <c r="C78" s="450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453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8"/>
        <v>0</v>
      </c>
      <c r="I78" s="308">
        <f t="shared" ca="1" si="9"/>
        <v>0</v>
      </c>
      <c r="J78" s="308">
        <f t="shared" ca="1" si="10"/>
        <v>0</v>
      </c>
      <c r="K78" s="309">
        <f t="shared" ca="1" si="11"/>
        <v>0</v>
      </c>
      <c r="L78" s="316"/>
      <c r="M78" s="289" t="str">
        <f t="shared" ca="1" si="12"/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 hidden="1">
      <c r="A79" s="283"/>
      <c r="B79" s="449"/>
      <c r="C79" s="450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453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8"/>
        <v>0</v>
      </c>
      <c r="I79" s="308">
        <f t="shared" ca="1" si="9"/>
        <v>0</v>
      </c>
      <c r="J79" s="308">
        <f t="shared" ca="1" si="10"/>
        <v>0</v>
      </c>
      <c r="K79" s="309">
        <f t="shared" ca="1" si="11"/>
        <v>0</v>
      </c>
      <c r="L79" s="316"/>
      <c r="M79" s="289" t="str">
        <f t="shared" ca="1" si="12"/>
        <v/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418" t="s">
        <v>1602</v>
      </c>
      <c r="C80" s="421" t="s">
        <v>1604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454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8"/>
        <v>0</v>
      </c>
      <c r="I80" s="308">
        <f t="shared" ca="1" si="9"/>
        <v>0</v>
      </c>
      <c r="J80" s="308">
        <f t="shared" ca="1" si="10"/>
        <v>0</v>
      </c>
      <c r="K80" s="309">
        <f t="shared" ca="1" si="11"/>
        <v>0</v>
      </c>
      <c r="L80" s="316"/>
      <c r="M80" s="289" t="str">
        <f t="shared" ca="1" si="12"/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318">
        <v>1</v>
      </c>
      <c r="C81" s="109" t="s">
        <v>346</v>
      </c>
      <c r="D81" s="305" t="str">
        <f ca="1">IF(ISERROR(OFFSET('HARGA SATUAN'!$D$6,MATCH(RAB!C81,'HARGA SATUAN'!$C$7:$C$1495,0),0)),"",OFFSET('HARGA SATUAN'!$D$6,MATCH(RAB!C81,'HARGA SATUAN'!$C$7:$C$1495,0),0))</f>
        <v>JASA</v>
      </c>
      <c r="E81" s="306" t="str">
        <f ca="1">IF(B81="+","Unit",IF(ISERROR(OFFSET('HARGA SATUAN'!$E$6,MATCH(RAB!C81,'HARGA SATUAN'!$C$7:$C$1495,0),0)),"",OFFSET('HARGA SATUAN'!$E$6,MATCH(RAB!C81,'HARGA SATUAN'!$C$7:$C$1495,0),0)))</f>
        <v>Per 50 m</v>
      </c>
      <c r="F81" s="522">
        <v>2</v>
      </c>
      <c r="G81" s="307">
        <f ca="1">IF(ISERROR(OFFSET('HARGA SATUAN'!$I$6,MATCH(RAB!C81,'HARGA SATUAN'!$C$7:$C$1495,0),0)),0,OFFSET('HARGA SATUAN'!$I$6,MATCH(RAB!C81,'HARGA SATUAN'!$C$7:$C$1495,0),0))</f>
        <v>223500</v>
      </c>
      <c r="H81" s="308">
        <f t="shared" ca="1" si="8"/>
        <v>0</v>
      </c>
      <c r="I81" s="308">
        <f t="shared" ca="1" si="9"/>
        <v>0</v>
      </c>
      <c r="J81" s="308">
        <f t="shared" ca="1" si="10"/>
        <v>447000</v>
      </c>
      <c r="K81" s="309">
        <f t="shared" ca="1" si="11"/>
        <v>447000</v>
      </c>
      <c r="L81" s="316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318">
        <v>2</v>
      </c>
      <c r="C82" s="109" t="s">
        <v>1457</v>
      </c>
      <c r="D82" s="305" t="str">
        <f ca="1">IF(ISERROR(OFFSET('HARGA SATUAN'!$D$6,MATCH(RAB!C82,'HARGA SATUAN'!$C$7:$C$1495,0),0)),"",OFFSET('HARGA SATUAN'!$D$6,MATCH(RAB!C82,'HARGA SATUAN'!$C$7:$C$1495,0),0))</f>
        <v>MDU-KD</v>
      </c>
      <c r="E82" s="306" t="str">
        <f ca="1">IF(B82="+","Unit",IF(ISERROR(OFFSET('HARGA SATUAN'!$E$6,MATCH(RAB!C82,'HARGA SATUAN'!$C$7:$C$1495,0),0)),"",OFFSET('HARGA SATUAN'!$E$6,MATCH(RAB!C82,'HARGA SATUAN'!$C$7:$C$1495,0),0)))</f>
        <v>Mtr</v>
      </c>
      <c r="F82" s="522">
        <v>100</v>
      </c>
      <c r="G82" s="307">
        <f ca="1">IF(ISERROR(OFFSET('HARGA SATUAN'!$I$6,MATCH(RAB!C82,'HARGA SATUAN'!$C$7:$C$1495,0),0)),0,OFFSET('HARGA SATUAN'!$I$6,MATCH(RAB!C82,'HARGA SATUAN'!$C$7:$C$1495,0),0))</f>
        <v>54500</v>
      </c>
      <c r="H82" s="308">
        <f t="shared" ca="1" si="8"/>
        <v>5450000</v>
      </c>
      <c r="I82" s="308">
        <f t="shared" ca="1" si="9"/>
        <v>0</v>
      </c>
      <c r="J82" s="308">
        <f t="shared" ca="1" si="10"/>
        <v>0</v>
      </c>
      <c r="K82" s="309">
        <f t="shared" ca="1" si="11"/>
        <v>5450000</v>
      </c>
      <c r="L82" s="316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318"/>
      <c r="C83" s="319"/>
      <c r="D83" s="305" t="str">
        <f ca="1">IF(ISERROR(OFFSET('HARGA SATUAN'!$D$6,MATCH(RAB!C83,'HARGA SATUAN'!$C$7:$C$1495,0),0)),"",OFFSET('HARGA SATUAN'!$D$6,MATCH(RAB!C83,'HARGA SATUAN'!$C$7:$C$1495,0),0))</f>
        <v/>
      </c>
      <c r="E83" s="306" t="str">
        <f ca="1">IF(B83="+","Unit",IF(ISERROR(OFFSET('HARGA SATUAN'!$E$6,MATCH(RAB!C83,'HARGA SATUAN'!$C$7:$C$1495,0),0)),"",OFFSET('HARGA SATUAN'!$E$6,MATCH(RAB!C83,'HARGA SATUAN'!$C$7:$C$1495,0),0)))</f>
        <v/>
      </c>
      <c r="F83" s="419"/>
      <c r="G83" s="307">
        <f ca="1">IF(ISERROR(OFFSET('HARGA SATUAN'!$I$6,MATCH(RAB!C83,'HARGA SATUAN'!$C$7:$C$1495,0),0)),0,OFFSET('HARGA SATUAN'!$I$6,MATCH(RAB!C83,'HARGA SATUAN'!$C$7:$C$1495,0),0))</f>
        <v>0</v>
      </c>
      <c r="H83" s="308">
        <f t="shared" ca="1" si="8"/>
        <v>0</v>
      </c>
      <c r="I83" s="308">
        <f t="shared" ca="1" si="9"/>
        <v>0</v>
      </c>
      <c r="J83" s="308">
        <f t="shared" ca="1" si="10"/>
        <v>0</v>
      </c>
      <c r="K83" s="309">
        <f t="shared" ca="1" si="11"/>
        <v>0</v>
      </c>
      <c r="L83" s="316"/>
      <c r="M83" s="289" t="e">
        <f>IF(AND(F83&gt;0,#REF!=0),"",IF(AND(ISBLANK(F83)=FALSE,K83=0),"WARNING",""))</f>
        <v>#REF!</v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418" t="s">
        <v>1610</v>
      </c>
      <c r="C84" s="421" t="s">
        <v>1606</v>
      </c>
      <c r="D84" s="305" t="str">
        <f ca="1">IF(ISERROR(OFFSET('HARGA SATUAN'!$D$6,MATCH(RAB!C84,'HARGA SATUAN'!$C$7:$C$1495,0),0)),"",OFFSET('HARGA SATUAN'!$D$6,MATCH(RAB!C84,'HARGA SATUAN'!$C$7:$C$1495,0),0))</f>
        <v/>
      </c>
      <c r="E84" s="306" t="str">
        <f ca="1">IF(B84="+","Unit",IF(ISERROR(OFFSET('HARGA SATUAN'!$E$6,MATCH(RAB!C84,'HARGA SATUAN'!$C$7:$C$1495,0),0)),"",OFFSET('HARGA SATUAN'!$E$6,MATCH(RAB!C84,'HARGA SATUAN'!$C$7:$C$1495,0),0)))</f>
        <v/>
      </c>
      <c r="F84" s="455"/>
      <c r="G84" s="307">
        <f ca="1">IF(ISERROR(OFFSET('HARGA SATUAN'!$I$6,MATCH(RAB!C84,'HARGA SATUAN'!$C$7:$C$1495,0),0)),0,OFFSET('HARGA SATUAN'!$I$6,MATCH(RAB!C84,'HARGA SATUAN'!$C$7:$C$1495,0),0))</f>
        <v>0</v>
      </c>
      <c r="H84" s="308">
        <f t="shared" ref="H84:H103" ca="1" si="13">IF(OR(D84="MDU",D84="MDU-KD"),(IF($O$3="RAB NON MDU","PLN KD",G84*F84)),0)</f>
        <v>0</v>
      </c>
      <c r="I84" s="308">
        <f t="shared" ref="I84:I103" ca="1" si="14">IF(D84="HDW",G84*F84,0)</f>
        <v>0</v>
      </c>
      <c r="J84" s="308">
        <f t="shared" ref="J84:J103" ca="1" si="15">IF(D84="JASA",G84*F84,0)</f>
        <v>0</v>
      </c>
      <c r="K84" s="309">
        <f t="shared" ref="K84:K103" ca="1" si="16">SUM(H84:J84)</f>
        <v>0</v>
      </c>
      <c r="L84" s="316"/>
      <c r="M84" s="289" t="str">
        <f t="shared" ca="1" si="12"/>
        <v/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460" t="s">
        <v>1035</v>
      </c>
      <c r="C85" s="461" t="s">
        <v>1635</v>
      </c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IF(B85="+","Unit",IF(ISERROR(OFFSET('HARGA SATUAN'!$E$6,MATCH(RAB!C85,'HARGA SATUAN'!$C$7:$C$1495,0),0)),"",OFFSET('HARGA SATUAN'!$E$6,MATCH(RAB!C85,'HARGA SATUAN'!$C$7:$C$1495,0),0)))</f>
        <v>Unit</v>
      </c>
      <c r="F85" s="522">
        <v>1</v>
      </c>
      <c r="G85" s="307">
        <f ca="1">IF(ISERROR(OFFSET('HARGA SATUAN'!$I$6,MATCH(RAB!C85,'HARGA SATUAN'!$C$7:$C$1495,0),0)),0,OFFSET('HARGA SATUAN'!$I$6,MATCH(RAB!C85,'HARGA SATUAN'!$C$7:$C$1495,0),0))</f>
        <v>0</v>
      </c>
      <c r="H85" s="308">
        <f t="shared" ca="1" si="13"/>
        <v>0</v>
      </c>
      <c r="I85" s="308">
        <f t="shared" ca="1" si="14"/>
        <v>0</v>
      </c>
      <c r="J85" s="308">
        <f t="shared" ca="1" si="15"/>
        <v>0</v>
      </c>
      <c r="K85" s="309">
        <f t="shared" ca="1" si="16"/>
        <v>0</v>
      </c>
      <c r="L85" s="316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 ht="30">
      <c r="A86" s="283"/>
      <c r="B86" s="520">
        <v>1</v>
      </c>
      <c r="C86" s="109" t="s">
        <v>1195</v>
      </c>
      <c r="D86" s="305" t="str">
        <f ca="1">IF(ISERROR(OFFSET('HARGA SATUAN'!$D$6,MATCH(RAB!C86,'HARGA SATUAN'!$C$7:$C$1495,0),0)),"",OFFSET('HARGA SATUAN'!$D$6,MATCH(RAB!C86,'HARGA SATUAN'!$C$7:$C$1495,0),0))</f>
        <v>MDU-KD</v>
      </c>
      <c r="E86" s="306" t="str">
        <f ca="1">IF(B86="+","Unit",IF(ISERROR(OFFSET('HARGA SATUAN'!$E$6,MATCH(RAB!C86,'HARGA SATUAN'!$C$7:$C$1495,0),0)),"",OFFSET('HARGA SATUAN'!$E$6,MATCH(RAB!C86,'HARGA SATUAN'!$C$7:$C$1495,0),0)))</f>
        <v>Bh</v>
      </c>
      <c r="F86" s="522">
        <f>F85*1</f>
        <v>1</v>
      </c>
      <c r="G86" s="307">
        <f ca="1">IF(ISERROR(OFFSET('HARGA SATUAN'!$I$6,MATCH(RAB!C86,'HARGA SATUAN'!$C$7:$C$1495,0),0)),0,OFFSET('HARGA SATUAN'!$I$6,MATCH(RAB!C86,'HARGA SATUAN'!$C$7:$C$1495,0),0))</f>
        <v>1504200</v>
      </c>
      <c r="H86" s="308">
        <f t="shared" ca="1" si="13"/>
        <v>1504200</v>
      </c>
      <c r="I86" s="308">
        <f t="shared" ca="1" si="14"/>
        <v>0</v>
      </c>
      <c r="J86" s="308">
        <f t="shared" ca="1" si="15"/>
        <v>0</v>
      </c>
      <c r="K86" s="309">
        <f t="shared" ca="1" si="16"/>
        <v>1504200</v>
      </c>
      <c r="L86" s="316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520">
        <v>2</v>
      </c>
      <c r="C87" s="523" t="s">
        <v>516</v>
      </c>
      <c r="D87" s="305" t="str">
        <f ca="1">IF(ISERROR(OFFSET('HARGA SATUAN'!$D$6,MATCH(RAB!C87,'HARGA SATUAN'!$C$7:$C$1495,0),0)),"",OFFSET('HARGA SATUAN'!$D$6,MATCH(RAB!C87,'HARGA SATUAN'!$C$7:$C$1495,0),0))</f>
        <v>MDU-KD</v>
      </c>
      <c r="E87" s="306" t="str">
        <f ca="1">IF(B87="+","Unit",IF(ISERROR(OFFSET('HARGA SATUAN'!$E$6,MATCH(RAB!C87,'HARGA SATUAN'!$C$7:$C$1495,0),0)),"",OFFSET('HARGA SATUAN'!$E$6,MATCH(RAB!C87,'HARGA SATUAN'!$C$7:$C$1495,0),0)))</f>
        <v>Unit</v>
      </c>
      <c r="F87" s="522">
        <f>F85*1</f>
        <v>1</v>
      </c>
      <c r="G87" s="307">
        <f ca="1">IF(ISERROR(OFFSET('HARGA SATUAN'!$I$6,MATCH(RAB!C87,'HARGA SATUAN'!$C$7:$C$1495,0),0)),0,OFFSET('HARGA SATUAN'!$I$6,MATCH(RAB!C87,'HARGA SATUAN'!$C$7:$C$1495,0),0))</f>
        <v>13644300</v>
      </c>
      <c r="H87" s="308">
        <f t="shared" ca="1" si="13"/>
        <v>13644300</v>
      </c>
      <c r="I87" s="308">
        <f t="shared" ca="1" si="14"/>
        <v>0</v>
      </c>
      <c r="J87" s="308">
        <f t="shared" ca="1" si="15"/>
        <v>0</v>
      </c>
      <c r="K87" s="309">
        <f t="shared" ca="1" si="16"/>
        <v>13644300</v>
      </c>
      <c r="L87" s="316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520">
        <v>3</v>
      </c>
      <c r="C88" s="523" t="s">
        <v>1141</v>
      </c>
      <c r="D88" s="305" t="str">
        <f ca="1">IF(ISERROR(OFFSET('HARGA SATUAN'!$D$6,MATCH(RAB!C88,'HARGA SATUAN'!$C$7:$C$1495,0),0)),"",OFFSET('HARGA SATUAN'!$D$6,MATCH(RAB!C88,'HARGA SATUAN'!$C$7:$C$1495,0),0))</f>
        <v>HDW</v>
      </c>
      <c r="E88" s="306" t="str">
        <f ca="1">IF(B88="+","Unit",IF(ISERROR(OFFSET('HARGA SATUAN'!$E$6,MATCH(RAB!C88,'HARGA SATUAN'!$C$7:$C$1495,0),0)),"",OFFSET('HARGA SATUAN'!$E$6,MATCH(RAB!C88,'HARGA SATUAN'!$C$7:$C$1495,0),0)))</f>
        <v>Unit</v>
      </c>
      <c r="F88" s="522">
        <f>F85*1</f>
        <v>1</v>
      </c>
      <c r="G88" s="307">
        <f ca="1">IF(ISERROR(OFFSET('HARGA SATUAN'!$I$6,MATCH(RAB!C88,'HARGA SATUAN'!$C$7:$C$1495,0),0)),0,OFFSET('HARGA SATUAN'!$I$6,MATCH(RAB!C88,'HARGA SATUAN'!$C$7:$C$1495,0),0))</f>
        <v>1113900</v>
      </c>
      <c r="H88" s="308">
        <f t="shared" ca="1" si="13"/>
        <v>0</v>
      </c>
      <c r="I88" s="308">
        <f t="shared" ca="1" si="14"/>
        <v>1113900</v>
      </c>
      <c r="J88" s="308">
        <f t="shared" ca="1" si="15"/>
        <v>0</v>
      </c>
      <c r="K88" s="309">
        <f t="shared" ca="1" si="16"/>
        <v>1113900</v>
      </c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520">
        <v>4</v>
      </c>
      <c r="C89" s="109" t="s">
        <v>1457</v>
      </c>
      <c r="D89" s="305" t="str">
        <f ca="1">IF(ISERROR(OFFSET('HARGA SATUAN'!$D$6,MATCH(RAB!C89,'HARGA SATUAN'!$C$7:$C$1495,0),0)),"",OFFSET('HARGA SATUAN'!$D$6,MATCH(RAB!C89,'HARGA SATUAN'!$C$7:$C$1495,0),0))</f>
        <v>MDU-KD</v>
      </c>
      <c r="E89" s="306" t="str">
        <f ca="1">IF(B89="+","Unit",IF(ISERROR(OFFSET('HARGA SATUAN'!$E$6,MATCH(RAB!C89,'HARGA SATUAN'!$C$7:$C$1495,0),0)),"",OFFSET('HARGA SATUAN'!$E$6,MATCH(RAB!C89,'HARGA SATUAN'!$C$7:$C$1495,0),0)))</f>
        <v>Mtr</v>
      </c>
      <c r="F89" s="522">
        <v>40</v>
      </c>
      <c r="G89" s="307">
        <f ca="1">IF(ISERROR(OFFSET('HARGA SATUAN'!$I$6,MATCH(RAB!C89,'HARGA SATUAN'!$C$7:$C$1495,0),0)),0,OFFSET('HARGA SATUAN'!$I$6,MATCH(RAB!C89,'HARGA SATUAN'!$C$7:$C$1495,0),0))</f>
        <v>54500</v>
      </c>
      <c r="H89" s="308">
        <f t="shared" ca="1" si="13"/>
        <v>2180000</v>
      </c>
      <c r="I89" s="308">
        <f t="shared" ca="1" si="14"/>
        <v>0</v>
      </c>
      <c r="J89" s="308">
        <f t="shared" ca="1" si="15"/>
        <v>0</v>
      </c>
      <c r="K89" s="309">
        <f t="shared" ca="1" si="16"/>
        <v>2180000</v>
      </c>
      <c r="L89" s="316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520">
        <v>5</v>
      </c>
      <c r="C90" s="523" t="s">
        <v>799</v>
      </c>
      <c r="D90" s="305" t="str">
        <f ca="1">IF(ISERROR(OFFSET('HARGA SATUAN'!$D$6,MATCH(RAB!C90,'HARGA SATUAN'!$C$7:$C$1495,0),0)),"",OFFSET('HARGA SATUAN'!$D$6,MATCH(RAB!C90,'HARGA SATUAN'!$C$7:$C$1495,0),0))</f>
        <v>JASA</v>
      </c>
      <c r="E90" s="306" t="str">
        <f ca="1">IF(B90="+","Unit",IF(ISERROR(OFFSET('HARGA SATUAN'!$E$6,MATCH(RAB!C90,'HARGA SATUAN'!$C$7:$C$1495,0),0)),"",OFFSET('HARGA SATUAN'!$E$6,MATCH(RAB!C90,'HARGA SATUAN'!$C$7:$C$1495,0),0)))</f>
        <v>Unit</v>
      </c>
      <c r="F90" s="522">
        <f>F85*1</f>
        <v>1</v>
      </c>
      <c r="G90" s="307">
        <f ca="1">IF(ISERROR(OFFSET('HARGA SATUAN'!$I$6,MATCH(RAB!C90,'HARGA SATUAN'!$C$7:$C$1495,0),0)),0,OFFSET('HARGA SATUAN'!$I$6,MATCH(RAB!C90,'HARGA SATUAN'!$C$7:$C$1495,0),0))</f>
        <v>106400</v>
      </c>
      <c r="H90" s="308">
        <f ca="1">IF(OR(D90="MDU",D90="MDU-KD"),(IF($O$3="RAB NON MDU","PLN KD",G90*F90)),0)</f>
        <v>0</v>
      </c>
      <c r="I90" s="308">
        <f ca="1">IF(D90="HDW",G90*F90,0)</f>
        <v>0</v>
      </c>
      <c r="J90" s="308">
        <f ca="1">IF(D90="JASA",G90*F90,0)</f>
        <v>106400</v>
      </c>
      <c r="K90" s="309">
        <f ca="1">SUM(H90:J90)</f>
        <v>106400</v>
      </c>
      <c r="L90" s="316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318"/>
      <c r="C91" s="319"/>
      <c r="D91" s="305" t="str">
        <f ca="1">IF(ISERROR(OFFSET('HARGA SATUAN'!$D$6,MATCH(RAB!C91,'HARGA SATUAN'!$C$7:$C$1495,0),0)),"",OFFSET('HARGA SATUAN'!$D$6,MATCH(RAB!C91,'HARGA SATUAN'!$C$7:$C$1495,0),0))</f>
        <v/>
      </c>
      <c r="E91" s="306" t="str">
        <f ca="1">IF(B91="+","Unit",IF(ISERROR(OFFSET('HARGA SATUAN'!$E$6,MATCH(RAB!C91,'HARGA SATUAN'!$C$7:$C$1495,0),0)),"",OFFSET('HARGA SATUAN'!$E$6,MATCH(RAB!C91,'HARGA SATUAN'!$C$7:$C$1495,0),0)))</f>
        <v/>
      </c>
      <c r="F91" s="452"/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t="shared" ca="1" si="13"/>
        <v>0</v>
      </c>
      <c r="I91" s="308">
        <f t="shared" ca="1" si="14"/>
        <v>0</v>
      </c>
      <c r="J91" s="308">
        <f t="shared" ca="1" si="15"/>
        <v>0</v>
      </c>
      <c r="K91" s="309">
        <f t="shared" ca="1" si="16"/>
        <v>0</v>
      </c>
      <c r="L91" s="316"/>
      <c r="M91" s="289" t="str">
        <f ca="1">IF(AND(F91&gt;0,F84=0),"",IF(AND(ISBLANK(F91)=FALSE,K91=0),"WARNING",""))</f>
        <v/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318" t="s">
        <v>1035</v>
      </c>
      <c r="C92" s="319" t="s">
        <v>1618</v>
      </c>
      <c r="D92" s="305" t="str">
        <f ca="1">IF(ISERROR(OFFSET('HARGA SATUAN'!$D$6,MATCH(RAB!C92,'HARGA SATUAN'!$C$7:$C$1495,0),0)),"",OFFSET('HARGA SATUAN'!$D$6,MATCH(RAB!C92,'HARGA SATUAN'!$C$7:$C$1495,0),0))</f>
        <v/>
      </c>
      <c r="E92" s="306" t="str">
        <f ca="1">IF(B92="+","Unit",IF(ISERROR(OFFSET('HARGA SATUAN'!$E$6,MATCH(RAB!C92,'HARGA SATUAN'!$C$7:$C$1495,0),0)),"",OFFSET('HARGA SATUAN'!$E$6,MATCH(RAB!C92,'HARGA SATUAN'!$C$7:$C$1495,0),0)))</f>
        <v>Unit</v>
      </c>
      <c r="F92" s="451">
        <v>1</v>
      </c>
      <c r="G92" s="307">
        <f ca="1">IF(ISERROR(OFFSET('HARGA SATUAN'!$I$6,MATCH(RAB!C92,'HARGA SATUAN'!$C$7:$C$1495,0),0)),0,OFFSET('HARGA SATUAN'!$I$6,MATCH(RAB!C92,'HARGA SATUAN'!$C$7:$C$1495,0),0))</f>
        <v>0</v>
      </c>
      <c r="H92" s="308">
        <f t="shared" ca="1" si="13"/>
        <v>0</v>
      </c>
      <c r="I92" s="308">
        <f t="shared" ca="1" si="14"/>
        <v>0</v>
      </c>
      <c r="J92" s="308">
        <f t="shared" ca="1" si="15"/>
        <v>0</v>
      </c>
      <c r="K92" s="309">
        <f t="shared" ca="1" si="16"/>
        <v>0</v>
      </c>
      <c r="L92" s="316"/>
      <c r="M92" s="289" t="str">
        <f t="shared" si="12"/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318">
        <v>1</v>
      </c>
      <c r="C93" s="319" t="s">
        <v>29</v>
      </c>
      <c r="D93" s="305" t="str">
        <f ca="1">IF(ISERROR(OFFSET('HARGA SATUAN'!$D$6,MATCH(RAB!C93,'HARGA SATUAN'!$C$7:$C$1495,0),0)),"",OFFSET('HARGA SATUAN'!$D$6,MATCH(RAB!C93,'HARGA SATUAN'!$C$7:$C$1495,0),0))</f>
        <v>HDW</v>
      </c>
      <c r="E93" s="306" t="str">
        <f ca="1">IF(B93="+","Unit",IF(ISERROR(OFFSET('HARGA SATUAN'!$E$6,MATCH(RAB!C93,'HARGA SATUAN'!$C$7:$C$1495,0),0)),"",OFFSET('HARGA SATUAN'!$E$6,MATCH(RAB!C93,'HARGA SATUAN'!$C$7:$C$1495,0),0)))</f>
        <v>Bh</v>
      </c>
      <c r="F93" s="451">
        <f>F92*1</f>
        <v>1</v>
      </c>
      <c r="G93" s="307">
        <f ca="1">IF(ISERROR(OFFSET('HARGA SATUAN'!$I$6,MATCH(RAB!C93,'HARGA SATUAN'!$C$7:$C$1495,0),0)),0,OFFSET('HARGA SATUAN'!$I$6,MATCH(RAB!C93,'HARGA SATUAN'!$C$7:$C$1495,0),0))</f>
        <v>185200</v>
      </c>
      <c r="H93" s="308">
        <f t="shared" ca="1" si="13"/>
        <v>0</v>
      </c>
      <c r="I93" s="308">
        <f t="shared" ca="1" si="14"/>
        <v>185200</v>
      </c>
      <c r="J93" s="308">
        <f t="shared" ca="1" si="15"/>
        <v>0</v>
      </c>
      <c r="K93" s="309">
        <f t="shared" ca="1" si="16"/>
        <v>185200</v>
      </c>
      <c r="L93" s="316"/>
      <c r="M93" s="289" t="str">
        <f t="shared" ca="1" si="12"/>
        <v/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318">
        <v>2</v>
      </c>
      <c r="C94" s="319" t="s">
        <v>30</v>
      </c>
      <c r="D94" s="305" t="str">
        <f ca="1">IF(ISERROR(OFFSET('HARGA SATUAN'!$D$6,MATCH(RAB!C94,'HARGA SATUAN'!$C$7:$C$1495,0),0)),"",OFFSET('HARGA SATUAN'!$D$6,MATCH(RAB!C94,'HARGA SATUAN'!$C$7:$C$1495,0),0))</f>
        <v>HDW</v>
      </c>
      <c r="E94" s="306" t="str">
        <f ca="1">IF(B94="+","Unit",IF(ISERROR(OFFSET('HARGA SATUAN'!$E$6,MATCH(RAB!C94,'HARGA SATUAN'!$C$7:$C$1495,0),0)),"",OFFSET('HARGA SATUAN'!$E$6,MATCH(RAB!C94,'HARGA SATUAN'!$C$7:$C$1495,0),0)))</f>
        <v>Bh</v>
      </c>
      <c r="F94" s="451">
        <f>F92*1</f>
        <v>1</v>
      </c>
      <c r="G94" s="307">
        <f ca="1">IF(ISERROR(OFFSET('HARGA SATUAN'!$I$6,MATCH(RAB!C94,'HARGA SATUAN'!$C$7:$C$1495,0),0)),0,OFFSET('HARGA SATUAN'!$I$6,MATCH(RAB!C94,'HARGA SATUAN'!$C$7:$C$1495,0),0))</f>
        <v>47459</v>
      </c>
      <c r="H94" s="308">
        <f t="shared" ca="1" si="13"/>
        <v>0</v>
      </c>
      <c r="I94" s="308">
        <f t="shared" ca="1" si="14"/>
        <v>47459</v>
      </c>
      <c r="J94" s="308">
        <f t="shared" ca="1" si="15"/>
        <v>0</v>
      </c>
      <c r="K94" s="309">
        <f t="shared" ca="1" si="16"/>
        <v>47459</v>
      </c>
      <c r="L94" s="316"/>
      <c r="M94" s="289" t="str">
        <f t="shared" ca="1" si="12"/>
        <v/>
      </c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318">
        <v>3</v>
      </c>
      <c r="C95" s="319" t="s">
        <v>32</v>
      </c>
      <c r="D95" s="305" t="str">
        <f ca="1">IF(ISERROR(OFFSET('HARGA SATUAN'!$D$6,MATCH(RAB!C95,'HARGA SATUAN'!$C$7:$C$1495,0),0)),"",OFFSET('HARGA SATUAN'!$D$6,MATCH(RAB!C95,'HARGA SATUAN'!$C$7:$C$1495,0),0))</f>
        <v>HDW</v>
      </c>
      <c r="E95" s="306" t="str">
        <f ca="1">IF(B95="+","Unit",IF(ISERROR(OFFSET('HARGA SATUAN'!$E$6,MATCH(RAB!C95,'HARGA SATUAN'!$C$7:$C$1495,0),0)),"",OFFSET('HARGA SATUAN'!$E$6,MATCH(RAB!C95,'HARGA SATUAN'!$C$7:$C$1495,0),0)))</f>
        <v>Mtr</v>
      </c>
      <c r="F95" s="451">
        <f>F92*1.5</f>
        <v>1.5</v>
      </c>
      <c r="G95" s="307">
        <f ca="1">IF(ISERROR(OFFSET('HARGA SATUAN'!$I$6,MATCH(RAB!C95,'HARGA SATUAN'!$C$7:$C$1495,0),0)),0,OFFSET('HARGA SATUAN'!$I$6,MATCH(RAB!C95,'HARGA SATUAN'!$C$7:$C$1495,0),0))</f>
        <v>30000</v>
      </c>
      <c r="H95" s="308">
        <f t="shared" ca="1" si="13"/>
        <v>0</v>
      </c>
      <c r="I95" s="308">
        <f t="shared" ca="1" si="14"/>
        <v>45000</v>
      </c>
      <c r="J95" s="308">
        <f t="shared" ca="1" si="15"/>
        <v>0</v>
      </c>
      <c r="K95" s="309">
        <f t="shared" ca="1" si="16"/>
        <v>45000</v>
      </c>
      <c r="L95" s="316"/>
      <c r="M95" s="289" t="str">
        <f t="shared" ca="1" si="12"/>
        <v/>
      </c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318">
        <v>4</v>
      </c>
      <c r="C96" s="319" t="s">
        <v>33</v>
      </c>
      <c r="D96" s="305" t="str">
        <f ca="1">IF(ISERROR(OFFSET('HARGA SATUAN'!$D$6,MATCH(RAB!C96,'HARGA SATUAN'!$C$7:$C$1495,0),0)),"",OFFSET('HARGA SATUAN'!$D$6,MATCH(RAB!C96,'HARGA SATUAN'!$C$7:$C$1495,0),0))</f>
        <v>HDW</v>
      </c>
      <c r="E96" s="306" t="str">
        <f ca="1">IF(B96="+","Unit",IF(ISERROR(OFFSET('HARGA SATUAN'!$E$6,MATCH(RAB!C96,'HARGA SATUAN'!$C$7:$C$1495,0),0)),"",OFFSET('HARGA SATUAN'!$E$6,MATCH(RAB!C96,'HARGA SATUAN'!$C$7:$C$1495,0),0)))</f>
        <v>Bh</v>
      </c>
      <c r="F96" s="451">
        <f>F92*2</f>
        <v>2</v>
      </c>
      <c r="G96" s="307">
        <f ca="1">IF(ISERROR(OFFSET('HARGA SATUAN'!$I$6,MATCH(RAB!C96,'HARGA SATUAN'!$C$7:$C$1495,0),0)),0,OFFSET('HARGA SATUAN'!$I$6,MATCH(RAB!C96,'HARGA SATUAN'!$C$7:$C$1495,0),0))</f>
        <v>9500</v>
      </c>
      <c r="H96" s="308">
        <f t="shared" ca="1" si="13"/>
        <v>0</v>
      </c>
      <c r="I96" s="308">
        <f t="shared" ca="1" si="14"/>
        <v>19000</v>
      </c>
      <c r="J96" s="308">
        <f t="shared" ca="1" si="15"/>
        <v>0</v>
      </c>
      <c r="K96" s="309">
        <f t="shared" ca="1" si="16"/>
        <v>19000</v>
      </c>
      <c r="L96" s="316"/>
      <c r="M96" s="289" t="str">
        <f t="shared" ca="1" si="12"/>
        <v/>
      </c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318">
        <v>5</v>
      </c>
      <c r="C97" s="319" t="s">
        <v>735</v>
      </c>
      <c r="D97" s="305" t="str">
        <f ca="1">IF(ISERROR(OFFSET('HARGA SATUAN'!$D$6,MATCH(RAB!C97,'HARGA SATUAN'!$C$7:$C$1495,0),0)),"",OFFSET('HARGA SATUAN'!$D$6,MATCH(RAB!C97,'HARGA SATUAN'!$C$7:$C$1495,0),0))</f>
        <v>JASA</v>
      </c>
      <c r="E97" s="306" t="str">
        <f ca="1">IF(B97="+","Unit",IF(ISERROR(OFFSET('HARGA SATUAN'!$E$6,MATCH(RAB!C97,'HARGA SATUAN'!$C$7:$C$1495,0),0)),"",OFFSET('HARGA SATUAN'!$E$6,MATCH(RAB!C97,'HARGA SATUAN'!$C$7:$C$1495,0),0)))</f>
        <v>Unit</v>
      </c>
      <c r="F97" s="451">
        <f>F92*1</f>
        <v>1</v>
      </c>
      <c r="G97" s="307">
        <f ca="1">IF(ISERROR(OFFSET('HARGA SATUAN'!$I$6,MATCH(RAB!C97,'HARGA SATUAN'!$C$7:$C$1495,0),0)),0,OFFSET('HARGA SATUAN'!$I$6,MATCH(RAB!C97,'HARGA SATUAN'!$C$7:$C$1495,0),0))</f>
        <v>56400</v>
      </c>
      <c r="H97" s="308">
        <f t="shared" ca="1" si="13"/>
        <v>0</v>
      </c>
      <c r="I97" s="308">
        <f t="shared" ca="1" si="14"/>
        <v>0</v>
      </c>
      <c r="J97" s="308">
        <f t="shared" ca="1" si="15"/>
        <v>56400</v>
      </c>
      <c r="K97" s="309">
        <f t="shared" ca="1" si="16"/>
        <v>56400</v>
      </c>
      <c r="L97" s="316"/>
      <c r="M97" s="289" t="str">
        <f t="shared" ca="1" si="12"/>
        <v/>
      </c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>
      <c r="A98" s="283"/>
      <c r="B98" s="318"/>
      <c r="C98" s="319"/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IF(B98="+","Unit",IF(ISERROR(OFFSET('HARGA SATUAN'!$E$6,MATCH(RAB!C98,'HARGA SATUAN'!$C$7:$C$1495,0),0)),"",OFFSET('HARGA SATUAN'!$E$6,MATCH(RAB!C98,'HARGA SATUAN'!$C$7:$C$1495,0),0)))</f>
        <v/>
      </c>
      <c r="F98" s="451"/>
      <c r="G98" s="307">
        <f ca="1">IF(ISERROR(OFFSET('HARGA SATUAN'!$I$6,MATCH(RAB!C98,'HARGA SATUAN'!$C$7:$C$1495,0),0)),0,OFFSET('HARGA SATUAN'!$I$6,MATCH(RAB!C98,'HARGA SATUAN'!$C$7:$C$1495,0),0))</f>
        <v>0</v>
      </c>
      <c r="H98" s="308">
        <f t="shared" ca="1" si="13"/>
        <v>0</v>
      </c>
      <c r="I98" s="308">
        <f t="shared" ca="1" si="14"/>
        <v>0</v>
      </c>
      <c r="J98" s="308">
        <f t="shared" ca="1" si="15"/>
        <v>0</v>
      </c>
      <c r="K98" s="309">
        <f t="shared" ca="1" si="16"/>
        <v>0</v>
      </c>
      <c r="L98" s="316"/>
      <c r="M98" s="289"/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>
      <c r="A99" s="283"/>
      <c r="B99" s="418" t="s">
        <v>22</v>
      </c>
      <c r="C99" s="421" t="s">
        <v>802</v>
      </c>
      <c r="D99" s="305" t="str">
        <f ca="1">IF(ISERROR(OFFSET('HARGA SATUAN'!$D$6,MATCH(RAB!C99,'HARGA SATUAN'!$C$7:$C$1495,0),0)),"",OFFSET('HARGA SATUAN'!$D$6,MATCH(RAB!C99,'HARGA SATUAN'!$C$7:$C$1495,0),0))</f>
        <v/>
      </c>
      <c r="E99" s="306">
        <f ca="1">IF(B99="+","Unit",IF(ISERROR(OFFSET('HARGA SATUAN'!$E$6,MATCH(RAB!C99,'HARGA SATUAN'!$C$7:$C$1495,0),0)),"",OFFSET('HARGA SATUAN'!$E$6,MATCH(RAB!C99,'HARGA SATUAN'!$C$7:$C$1495,0),0)))</f>
        <v>0</v>
      </c>
      <c r="F99" s="451"/>
      <c r="G99" s="307">
        <f ca="1">IF(ISERROR(OFFSET('HARGA SATUAN'!$I$6,MATCH(RAB!C99,'HARGA SATUAN'!$C$7:$C$1495,0),0)),0,OFFSET('HARGA SATUAN'!$I$6,MATCH(RAB!C99,'HARGA SATUAN'!$C$7:$C$1495,0),0))</f>
        <v>0</v>
      </c>
      <c r="H99" s="308">
        <f t="shared" ref="H99:H100" ca="1" si="17">IF(OR(D99="MDU",D99="MDU-KD"),(IF($O$3="RAB NON MDU","PLN KD",G99*F99)),0)</f>
        <v>0</v>
      </c>
      <c r="I99" s="308">
        <f t="shared" ref="I99:I100" ca="1" si="18">IF(D99="HDW",G99*F99,0)</f>
        <v>0</v>
      </c>
      <c r="J99" s="308">
        <f t="shared" ref="J99:J100" ca="1" si="19">IF(D99="JASA",G99*F99,0)</f>
        <v>0</v>
      </c>
      <c r="K99" s="309">
        <f t="shared" ref="K99:K100" ca="1" si="20">SUM(H99:J99)</f>
        <v>0</v>
      </c>
      <c r="L99" s="316"/>
      <c r="M99" s="289"/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>
      <c r="A100" s="283"/>
      <c r="B100" s="318">
        <v>1</v>
      </c>
      <c r="C100" s="109" t="s">
        <v>426</v>
      </c>
      <c r="D100" s="305" t="str">
        <f ca="1">IF(ISERROR(OFFSET('HARGA SATUAN'!$D$6,MATCH(RAB!C100,'HARGA SATUAN'!$C$7:$C$1495,0),0)),"",OFFSET('HARGA SATUAN'!$D$6,MATCH(RAB!C100,'HARGA SATUAN'!$C$7:$C$1495,0),0))</f>
        <v>JASA</v>
      </c>
      <c r="E100" s="306" t="str">
        <f ca="1">IF(B100="+","Unit",IF(ISERROR(OFFSET('HARGA SATUAN'!$E$6,MATCH(RAB!C100,'HARGA SATUAN'!$C$7:$C$1495,0),0)),"",OFFSET('HARGA SATUAN'!$E$6,MATCH(RAB!C100,'HARGA SATUAN'!$C$7:$C$1495,0),0)))</f>
        <v>Per 50 m</v>
      </c>
      <c r="F100" s="451">
        <v>200</v>
      </c>
      <c r="G100" s="307">
        <f ca="1">IF(ISERROR(OFFSET('HARGA SATUAN'!$I$6,MATCH(RAB!C100,'HARGA SATUAN'!$C$7:$C$1495,0),0)),0,OFFSET('HARGA SATUAN'!$I$6,MATCH(RAB!C100,'HARGA SATUAN'!$C$7:$C$1495,0),0))</f>
        <v>134100</v>
      </c>
      <c r="H100" s="308">
        <f t="shared" ca="1" si="17"/>
        <v>0</v>
      </c>
      <c r="I100" s="308">
        <f t="shared" ca="1" si="18"/>
        <v>0</v>
      </c>
      <c r="J100" s="308">
        <f t="shared" ca="1" si="19"/>
        <v>26820000</v>
      </c>
      <c r="K100" s="309">
        <f t="shared" ca="1" si="20"/>
        <v>26820000</v>
      </c>
      <c r="L100" s="316"/>
      <c r="M100" s="289"/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>
      <c r="A101" s="283"/>
      <c r="B101" s="318">
        <v>2</v>
      </c>
      <c r="C101" s="109" t="s">
        <v>813</v>
      </c>
      <c r="D101" s="305" t="str">
        <f ca="1">IF(ISERROR(OFFSET('HARGA SATUAN'!$D$6,MATCH(RAB!C101,'HARGA SATUAN'!$C$7:$C$1495,0),0)),"",OFFSET('HARGA SATUAN'!$D$6,MATCH(RAB!C101,'HARGA SATUAN'!$C$7:$C$1495,0),0))</f>
        <v>JASA</v>
      </c>
      <c r="E101" s="306" t="str">
        <f ca="1">IF(B101="+","Unit",IF(ISERROR(OFFSET('HARGA SATUAN'!$E$6,MATCH(RAB!C101,'HARGA SATUAN'!$C$7:$C$1495,0),0)),"",OFFSET('HARGA SATUAN'!$E$6,MATCH(RAB!C101,'HARGA SATUAN'!$C$7:$C$1495,0),0)))</f>
        <v>Unit</v>
      </c>
      <c r="F101" s="451">
        <v>3</v>
      </c>
      <c r="G101" s="307">
        <f ca="1">IF(ISERROR(OFFSET('HARGA SATUAN'!$I$6,MATCH(RAB!C101,'HARGA SATUAN'!$C$7:$C$1495,0),0)),0,OFFSET('HARGA SATUAN'!$I$6,MATCH(RAB!C101,'HARGA SATUAN'!$C$7:$C$1495,0),0))</f>
        <v>13320</v>
      </c>
      <c r="H101" s="308">
        <f t="shared" ref="H101:H102" ca="1" si="21">IF(OR(D101="MDU",D101="MDU-KD"),(IF($O$3="RAB NON MDU","PLN KD",G101*F101)),0)</f>
        <v>0</v>
      </c>
      <c r="I101" s="308">
        <f t="shared" ref="I101:I102" ca="1" si="22">IF(D101="HDW",G101*F101,0)</f>
        <v>0</v>
      </c>
      <c r="J101" s="308">
        <f t="shared" ref="J101:J102" ca="1" si="23">IF(D101="JASA",G101*F101,0)</f>
        <v>39960</v>
      </c>
      <c r="K101" s="309">
        <f t="shared" ref="K101:K102" ca="1" si="24">SUM(H101:J101)</f>
        <v>39960</v>
      </c>
      <c r="L101" s="316"/>
      <c r="M101" s="289"/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>
      <c r="A102" s="283"/>
      <c r="B102" s="318">
        <v>3</v>
      </c>
      <c r="C102" s="109" t="s">
        <v>814</v>
      </c>
      <c r="D102" s="305" t="str">
        <f ca="1">IF(ISERROR(OFFSET('HARGA SATUAN'!$D$6,MATCH(RAB!C102,'HARGA SATUAN'!$C$7:$C$1495,0),0)),"",OFFSET('HARGA SATUAN'!$D$6,MATCH(RAB!C102,'HARGA SATUAN'!$C$7:$C$1495,0),0))</f>
        <v>JASA</v>
      </c>
      <c r="E102" s="306" t="str">
        <f ca="1">IF(B102="+","Unit",IF(ISERROR(OFFSET('HARGA SATUAN'!$E$6,MATCH(RAB!C102,'HARGA SATUAN'!$C$7:$C$1495,0),0)),"",OFFSET('HARGA SATUAN'!$E$6,MATCH(RAB!C102,'HARGA SATUAN'!$C$7:$C$1495,0),0)))</f>
        <v>Unit</v>
      </c>
      <c r="F102" s="451">
        <v>2</v>
      </c>
      <c r="G102" s="307">
        <f ca="1">IF(ISERROR(OFFSET('HARGA SATUAN'!$I$6,MATCH(RAB!C102,'HARGA SATUAN'!$C$7:$C$1495,0),0)),0,OFFSET('HARGA SATUAN'!$I$6,MATCH(RAB!C102,'HARGA SATUAN'!$C$7:$C$1495,0),0))</f>
        <v>18180</v>
      </c>
      <c r="H102" s="308">
        <f t="shared" ca="1" si="21"/>
        <v>0</v>
      </c>
      <c r="I102" s="308">
        <f t="shared" ca="1" si="22"/>
        <v>0</v>
      </c>
      <c r="J102" s="308">
        <f t="shared" ca="1" si="23"/>
        <v>36360</v>
      </c>
      <c r="K102" s="309">
        <f t="shared" ca="1" si="24"/>
        <v>36360</v>
      </c>
      <c r="L102" s="316"/>
      <c r="M102" s="289"/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>
      <c r="B103" s="320">
        <v>4</v>
      </c>
      <c r="C103" s="186" t="s">
        <v>982</v>
      </c>
      <c r="D103" s="305" t="str">
        <f ca="1">IF(ISERROR(OFFSET('HARGA SATUAN'!$D$6,MATCH(RAB!C103,'HARGA SATUAN'!$C$7:$C$1495,0),0)),"",OFFSET('HARGA SATUAN'!$D$6,MATCH(RAB!C103,'HARGA SATUAN'!$C$7:$C$1495,0),0))</f>
        <v>JASA</v>
      </c>
      <c r="E103" s="306" t="str">
        <f ca="1">IF(B103="+","Unit",IF(ISERROR(OFFSET('HARGA SATUAN'!$E$6,MATCH(RAB!C103,'HARGA SATUAN'!$C$7:$C$1495,0),0)),"",OFFSET('HARGA SATUAN'!$E$6,MATCH(RAB!C103,'HARGA SATUAN'!$C$7:$C$1495,0),0)))</f>
        <v>Unit</v>
      </c>
      <c r="F103" s="315">
        <v>1</v>
      </c>
      <c r="G103" s="307">
        <f ca="1">IF(ISERROR(OFFSET('HARGA SATUAN'!$I$6,MATCH(RAB!C103,'HARGA SATUAN'!$C$7:$C$1495,0),0)),0,OFFSET('HARGA SATUAN'!$I$6,MATCH(RAB!C103,'HARGA SATUAN'!$C$7:$C$1495,0),0))</f>
        <v>63840</v>
      </c>
      <c r="H103" s="308">
        <f t="shared" ca="1" si="13"/>
        <v>0</v>
      </c>
      <c r="I103" s="308">
        <f t="shared" ca="1" si="14"/>
        <v>0</v>
      </c>
      <c r="J103" s="308">
        <f t="shared" ca="1" si="15"/>
        <v>63840</v>
      </c>
      <c r="K103" s="309">
        <f t="shared" ca="1" si="16"/>
        <v>63840</v>
      </c>
      <c r="M103" s="289" t="str">
        <f ca="1">IF(AND(F103&gt;0,F97=0),"",IF(AND(ISBLANK(F103)=FALSE,K103=0),"WARNING",""))</f>
        <v/>
      </c>
    </row>
    <row r="104" spans="1:22">
      <c r="B104" s="321"/>
      <c r="C104" s="322" t="s">
        <v>475</v>
      </c>
      <c r="D104" s="305" t="str">
        <f ca="1">IF(ISERROR(OFFSET('HARGA SATUAN'!$D$6,MATCH(RAB!C104,'HARGA SATUAN'!$C$7:$C$1495,0),0)),"",OFFSET('HARGA SATUAN'!$D$6,MATCH(RAB!C104,'HARGA SATUAN'!$C$7:$C$1495,0),0))</f>
        <v/>
      </c>
      <c r="E104" s="306" t="str">
        <f ca="1">IF(B104="+","Unit",IF(ISERROR(OFFSET('HARGA SATUAN'!$E$6,MATCH(RAB!C104,'HARGA SATUAN'!$C$7:$C$1495,0),0)),"",OFFSET('HARGA SATUAN'!$E$6,MATCH(RAB!C104,'HARGA SATUAN'!$C$7:$C$1495,0),0)))</f>
        <v/>
      </c>
      <c r="F104" s="315"/>
      <c r="G104" s="307">
        <f ca="1">IF(ISERROR(OFFSET('HARGA SATUAN'!$I$6,MATCH(RAB!C104,'HARGA SATUAN'!$C$7:$C$1495,0),0)),0,OFFSET('HARGA SATUAN'!$I$6,MATCH(RAB!C104,'HARGA SATUAN'!$C$7:$C$1495,0),0))</f>
        <v>0</v>
      </c>
      <c r="H104" s="308">
        <f ca="1">IF(OR(D104="MDU",D104="MDU-KD"),(IF($O$3="RAB NON MDU","PLN KD",G104*F104)),0)</f>
        <v>0</v>
      </c>
      <c r="I104" s="308">
        <f ca="1">IF(D104="HDW",G104*F104,0)</f>
        <v>0</v>
      </c>
      <c r="J104" s="308">
        <f ca="1">IF(D104="JASA",G104*F104,0)</f>
        <v>0</v>
      </c>
      <c r="K104" s="309">
        <f ca="1">SUM(H104:J104)</f>
        <v>0</v>
      </c>
      <c r="M104" s="289" t="e">
        <f>IF(AND(F104&gt;0,#REF!=0),"",IF(AND(ISBLANK(F104)=FALSE,K104=0),"WARNING",""))</f>
        <v>#REF!</v>
      </c>
    </row>
    <row r="105" spans="1:22">
      <c r="B105" s="324">
        <v>1</v>
      </c>
      <c r="C105" s="325" t="s">
        <v>1091</v>
      </c>
      <c r="D105" s="326" t="str">
        <f ca="1">IF(ISERROR(OFFSET('HARGA SATUAN'!$D$6,MATCH(RAB!C105,'HARGA SATUAN'!$C$7:$C$1495,0),0)),"",OFFSET('HARGA SATUAN'!$D$6,MATCH(RAB!C105,'HARGA SATUAN'!$C$7:$C$1495,0),0))</f>
        <v>JASA</v>
      </c>
      <c r="E105" s="327" t="str">
        <f ca="1">IF(ISERROR(OFFSET('HARGA SATUAN'!$E$6,MATCH(RAB!C105,'HARGA SATUAN'!$C$7:$C$1495,0),0)),"",OFFSET('HARGA SATUAN'!$E$6,MATCH(RAB!C105,'HARGA SATUAN'!$C$7:$C$1495,0),0))</f>
        <v>Lot</v>
      </c>
      <c r="F105" s="328">
        <v>1</v>
      </c>
      <c r="G105" s="329">
        <f ca="1">IF(ISERROR(OFFSET('HARGA SATUAN'!$I$6,MATCH(RAB!C105,'HARGA SATUAN'!$C$7:$C$1495,0),0)),0,OFFSET('HARGA SATUAN'!$I$6,MATCH(RAB!C105,'HARGA SATUAN'!$C$7:$C$1495,0),0))</f>
        <v>2.5000000000000001E-2</v>
      </c>
      <c r="H105" s="330">
        <f ca="1">SUM(H14:H104)*G105</f>
        <v>2111683.75</v>
      </c>
      <c r="I105" s="330">
        <f ca="1">SUM(I14:I104)*G105</f>
        <v>235283.07500000001</v>
      </c>
      <c r="J105" s="330">
        <f ca="1">SUM(J14:J104)*G105</f>
        <v>695196.5</v>
      </c>
      <c r="K105" s="330">
        <f ca="1">SUM(K14:K104)*G105</f>
        <v>3042163.3250000002</v>
      </c>
      <c r="M105" s="289" t="str">
        <f>IF(AND(F105&gt;0,F104=0),"",IF(AND(ISBLANK(F105)=FALSE,K105=0),"WARNING",""))</f>
        <v/>
      </c>
    </row>
    <row r="106" spans="1:22">
      <c r="B106" s="331"/>
      <c r="C106" s="332"/>
      <c r="D106" s="305" t="str">
        <f ca="1">IF(ISERROR(OFFSET('HARGA SATUAN'!$D$6,MATCH(RAB!C106,'HARGA SATUAN'!$C$7:$C$1495,0),0)),"",OFFSET('HARGA SATUAN'!$D$6,MATCH(RAB!C106,'HARGA SATUAN'!$C$7:$C$1495,0),0))</f>
        <v/>
      </c>
      <c r="E106" s="306" t="str">
        <f ca="1">IF(ISERROR(OFFSET('HARGA SATUAN'!$E$6,MATCH(RAB!C106,'HARGA SATUAN'!$C$7:$C$1495,0),0)),"",OFFSET('HARGA SATUAN'!$E$6,MATCH(RAB!C106,'HARGA SATUAN'!$C$7:$C$1495,0),0))</f>
        <v/>
      </c>
      <c r="F106" s="323"/>
      <c r="G106" s="307" t="str">
        <f ca="1">IF(ISERROR(OFFSET('HARGA SATUAN'!$I$6,MATCH(RAB!C106,'HARGA SATUAN'!$C$7:$C$1495,0),0)),"",OFFSET('HARGA SATUAN'!$I$6,MATCH(RAB!C106,'HARGA SATUAN'!$C$7:$C$1495,0),0))</f>
        <v/>
      </c>
      <c r="H106" s="308">
        <f ca="1">IF(OR(D106="MDU",D106="MDU-KD"),IF(G106="PLN",0,G106*F106),0)</f>
        <v>0</v>
      </c>
      <c r="I106" s="308">
        <f ca="1">IF(D106="HDW",IF(G106="PLN",0,G106*F106),0)</f>
        <v>0</v>
      </c>
      <c r="J106" s="308">
        <f ca="1">IF(D106="JASA",IF(G106="PLN",0,G106*F106),0)</f>
        <v>0</v>
      </c>
      <c r="K106" s="309">
        <f ca="1">SUM(H106:J106)</f>
        <v>0</v>
      </c>
    </row>
    <row r="107" spans="1:22" ht="15.75" thickBot="1">
      <c r="B107" s="333"/>
      <c r="C107" s="334"/>
      <c r="D107" s="335"/>
      <c r="E107" s="336"/>
      <c r="F107" s="336"/>
      <c r="G107" s="336"/>
      <c r="H107" s="337"/>
      <c r="I107" s="337"/>
      <c r="J107" s="337"/>
      <c r="K107" s="338"/>
    </row>
    <row r="108" spans="1:22">
      <c r="B108" s="339"/>
      <c r="C108" s="624" t="s">
        <v>1008</v>
      </c>
      <c r="D108" s="624"/>
      <c r="E108" s="624"/>
      <c r="F108" s="624"/>
      <c r="G108" s="340" t="s">
        <v>9</v>
      </c>
      <c r="H108" s="341">
        <f ca="1">SUM(H14:H106)</f>
        <v>86579033.75</v>
      </c>
      <c r="I108" s="341">
        <f ca="1">SUM(I14:I106)</f>
        <v>9646606.0749999993</v>
      </c>
      <c r="J108" s="341">
        <f ca="1">SUM(J14:J106)</f>
        <v>28503056.5</v>
      </c>
      <c r="K108" s="341">
        <f ca="1">SUM(K14:K106)</f>
        <v>124728696.325</v>
      </c>
    </row>
    <row r="109" spans="1:22">
      <c r="B109" s="342"/>
      <c r="C109" s="641" t="s">
        <v>1455</v>
      </c>
      <c r="D109" s="641"/>
      <c r="E109" s="641"/>
      <c r="F109" s="641"/>
      <c r="G109" s="343" t="s">
        <v>9</v>
      </c>
      <c r="H109" s="344">
        <f ca="1">H108*0.11</f>
        <v>9523693.7125000004</v>
      </c>
      <c r="I109" s="344">
        <f ca="1">I108*0.11</f>
        <v>1061126.6682499999</v>
      </c>
      <c r="J109" s="344">
        <f ca="1">J108*0.11</f>
        <v>3135336.2149999999</v>
      </c>
      <c r="K109" s="344">
        <f ca="1">K108*0.11</f>
        <v>13720156.59575</v>
      </c>
    </row>
    <row r="110" spans="1:22" ht="15.75" thickBot="1">
      <c r="B110" s="342"/>
      <c r="C110" s="638" t="s">
        <v>463</v>
      </c>
      <c r="D110" s="638"/>
      <c r="E110" s="638"/>
      <c r="F110" s="638"/>
      <c r="G110" s="345" t="s">
        <v>9</v>
      </c>
      <c r="H110" s="346">
        <f ca="1">SUM(H108:H109)</f>
        <v>96102727.462500006</v>
      </c>
      <c r="I110" s="346">
        <f ca="1">SUM(I108:I109)</f>
        <v>10707732.743249999</v>
      </c>
      <c r="J110" s="345">
        <f ca="1">SUM(J108:J109)</f>
        <v>31638392.715</v>
      </c>
      <c r="K110" s="345">
        <f ca="1">SUM(K108:K109)</f>
        <v>138448852.92074999</v>
      </c>
      <c r="M110" s="410">
        <v>201265205.30690998</v>
      </c>
    </row>
    <row r="111" spans="1:22">
      <c r="B111" s="642" t="str">
        <f ca="1">"Terbilang : "&amp;PROPER(IF(K110=0,"nol",IF(K110&lt;0,"minus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IF(--MID(TEXT(ABS(K110),"000000000000000"),1,3)=0,"",MID(TEXT(ABS(K110),"000000000000000"),1,1)&amp;" ratus "&amp;MID(TEXT(ABS(K110),"000000000000000"),2,1)&amp;" puluh "&amp;MID(TEXT(ABS(K110),"000000000000000"),3,1)&amp;" trilyun ")&amp; IF(--MID(TEXT(ABS(K110),"000000000000000"),4,3)=0,"",MID(TEXT(ABS(K110),"000000000000000"),4,1)&amp;" ratus "&amp;MID(TEXT(ABS(K110),"000000000000000"),5,1)&amp;" puluh "&amp;MID(TEXT(ABS(K110),"000000000000000"),6,1)&amp;" milyar ")&amp; IF(--MID(TEXT(ABS(K110),"000000000000000"),7,3)=0,"",MID(TEXT(ABS(K110),"000000000000000"),7,1)&amp;" ratus "&amp;MID(TEXT(ABS(K110),"000000000000000"),8,1)&amp;" puluh "&amp;MID(TEXT(ABS(K110),"000000000000000"),9,1)&amp;" juta ")&amp; IF(--MID(TEXT(ABS(K110),"000000000000000"),10,3)=0,"",IF(--MID(TEXT(ABS(K110),"000000000000000"),10,3)=1,"*",MID(TEXT(ABS(K110),"000000000000000"),10,1)&amp;" ratus "&amp;MID(TEXT(ABS(K110),"000000000000000"),11,1)&amp;" puluh ")&amp;MID(TEXT(ABS(K110),"000000000000000"),12,1)&amp;" ribu ")&amp; IF(--MID(TEXT(ABS(K110),"000000000000000"),13,3)=0,"",MID(TEXT(ABS(K110),"000000000000000"),13,1)&amp;" ratus "&amp;MID(TEXT(ABS(K110),"000000000000000"),14,1)&amp;" puluh "&amp;MID(TEXT(ABS(K110),"000000000000000"),15,1)),1,"satu"),2,"dua"),3,"tiga"),4,"empat"),5,"lima"),6,"enam"),7,"tujuh"),8,"delapan"),9,"sembilan"),"0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Tiga Puluh Delapan Juta Empat Ratus Empat Puluh Delapan Ribu Delapan Ratus Lima Puluh Tiga Rupiah</v>
      </c>
      <c r="C111" s="643"/>
      <c r="D111" s="643"/>
      <c r="E111" s="643"/>
      <c r="F111" s="643"/>
      <c r="G111" s="643"/>
      <c r="H111" s="643"/>
      <c r="I111" s="643"/>
      <c r="J111" s="643"/>
      <c r="K111" s="644"/>
    </row>
    <row r="112" spans="1:22">
      <c r="B112" s="645"/>
      <c r="C112" s="646"/>
      <c r="D112" s="646"/>
      <c r="E112" s="646"/>
      <c r="F112" s="646"/>
      <c r="G112" s="646"/>
      <c r="H112" s="646"/>
      <c r="I112" s="646"/>
      <c r="J112" s="646"/>
      <c r="K112" s="647"/>
    </row>
    <row r="113" spans="2:11" ht="15.75" thickBot="1">
      <c r="B113" s="347" t="str">
        <f>"Harga yang dipakai adalah "&amp;'HARGA SATUAN'!I5&amp;""</f>
        <v>Harga yang dipakai adalah RAB HSS 2023</v>
      </c>
      <c r="C113" s="348"/>
      <c r="D113" s="349"/>
      <c r="E113" s="349"/>
      <c r="F113" s="349"/>
      <c r="G113" s="350"/>
      <c r="H113" s="350"/>
      <c r="I113" s="350"/>
      <c r="J113" s="350"/>
      <c r="K113" s="351"/>
    </row>
    <row r="114" spans="2:11">
      <c r="C114" s="352"/>
      <c r="E114" s="354"/>
      <c r="F114" s="354"/>
      <c r="G114" s="354"/>
    </row>
    <row r="115" spans="2:11">
      <c r="C115" s="284"/>
      <c r="E115" s="354"/>
      <c r="F115" s="354"/>
      <c r="G115" s="354"/>
      <c r="H115" s="648"/>
      <c r="I115" s="648"/>
      <c r="J115" s="649"/>
      <c r="K115" s="649"/>
    </row>
    <row r="116" spans="2:11">
      <c r="C116" s="284"/>
      <c r="E116" s="354"/>
      <c r="F116" s="354"/>
      <c r="G116" s="354"/>
      <c r="H116" s="355"/>
      <c r="I116" s="637" t="s">
        <v>1616</v>
      </c>
      <c r="J116" s="637"/>
      <c r="K116" s="637"/>
    </row>
    <row r="117" spans="2:11">
      <c r="C117" s="284"/>
      <c r="E117" s="354"/>
      <c r="F117" s="354"/>
      <c r="G117" s="354"/>
      <c r="H117" s="355"/>
      <c r="I117" s="637" t="s">
        <v>1611</v>
      </c>
      <c r="J117" s="637"/>
      <c r="K117" s="637"/>
    </row>
    <row r="118" spans="2:11">
      <c r="C118" s="284"/>
      <c r="E118" s="354"/>
      <c r="F118" s="354"/>
      <c r="G118" s="354"/>
      <c r="H118" s="356"/>
      <c r="I118" s="357"/>
      <c r="J118" s="357"/>
      <c r="K118" s="357"/>
    </row>
    <row r="119" spans="2:11">
      <c r="C119" s="284"/>
      <c r="E119" s="354"/>
      <c r="F119" s="354"/>
      <c r="G119" s="354"/>
      <c r="H119" s="356"/>
      <c r="I119" s="356"/>
      <c r="J119" s="356"/>
      <c r="K119" s="356"/>
    </row>
    <row r="120" spans="2:11">
      <c r="C120" s="284"/>
      <c r="E120" s="354"/>
      <c r="F120" s="354"/>
      <c r="G120" s="354"/>
      <c r="H120" s="356"/>
      <c r="I120" s="356"/>
      <c r="J120" s="356"/>
      <c r="K120" s="356"/>
    </row>
    <row r="121" spans="2:11">
      <c r="C121" s="284"/>
      <c r="E121" s="354"/>
      <c r="F121" s="354"/>
      <c r="G121" s="354"/>
      <c r="H121" s="356"/>
      <c r="I121" s="356"/>
      <c r="J121" s="356"/>
      <c r="K121" s="356"/>
    </row>
    <row r="122" spans="2:11">
      <c r="C122" s="284"/>
      <c r="E122" s="354"/>
      <c r="F122" s="354"/>
      <c r="G122" s="354"/>
      <c r="H122" s="358"/>
      <c r="I122" s="637" t="s">
        <v>1612</v>
      </c>
      <c r="J122" s="637"/>
      <c r="K122" s="637"/>
    </row>
    <row r="123" spans="2:11">
      <c r="C123" s="352"/>
      <c r="E123" s="354"/>
      <c r="F123" s="354"/>
      <c r="G123" s="354"/>
      <c r="H123" s="356"/>
      <c r="I123" s="356"/>
      <c r="J123" s="356"/>
      <c r="K123" s="356"/>
    </row>
    <row r="124" spans="2:11">
      <c r="C124" s="352"/>
      <c r="E124" s="354"/>
      <c r="F124" s="354"/>
      <c r="G124" s="354"/>
      <c r="H124" s="356"/>
      <c r="I124" s="356"/>
      <c r="J124" s="356"/>
      <c r="K124" s="356"/>
    </row>
    <row r="125" spans="2:11">
      <c r="C125" s="352"/>
      <c r="E125" s="354"/>
      <c r="F125" s="354"/>
      <c r="G125" s="354"/>
      <c r="H125" s="356"/>
      <c r="I125" s="356"/>
      <c r="J125" s="356"/>
      <c r="K125" s="356"/>
    </row>
  </sheetData>
  <sheetProtection sort="0" autoFilter="0"/>
  <protectedRanges>
    <protectedRange sqref="B84:C84 B15 B16:C16 B60:C80 B19:C20 B22:C37 B21 B38:B39 B17:B18 B81:B83 B40:C57" name="Range1_6_1"/>
    <protectedRange sqref="C83" name="Range1_6_1_10"/>
    <protectedRange sqref="B91:C99 B85:B90 B100:B102" name="Range1_6_1_11"/>
    <protectedRange sqref="B58:C59" name="Range1_6_1_15"/>
    <protectedRange sqref="C85:C88 C90" name="Range1_6_1_18"/>
    <protectedRange sqref="C21" name="Range1_1_3_2"/>
    <protectedRange sqref="C38:C39" name="Range1_1_3_4"/>
    <protectedRange sqref="C17" name="Range1_1_3_5"/>
    <protectedRange sqref="C18" name="Range1_1_3_6"/>
    <protectedRange sqref="C89" name="Range1_1_3_8"/>
    <protectedRange sqref="C81" name="Range1"/>
    <protectedRange sqref="C82" name="Range1_1"/>
    <protectedRange sqref="C103" name="Range1_2"/>
    <protectedRange sqref="C100" name="Range1_3"/>
    <protectedRange sqref="C101" name="Range1_4"/>
    <protectedRange sqref="C102" name="Range1_5"/>
  </protectedRanges>
  <mergeCells count="22">
    <mergeCell ref="I117:K117"/>
    <mergeCell ref="I122:K122"/>
    <mergeCell ref="C110:F110"/>
    <mergeCell ref="G6:K6"/>
    <mergeCell ref="I116:K116"/>
    <mergeCell ref="C109:F109"/>
    <mergeCell ref="B111:K112"/>
    <mergeCell ref="H115:K115"/>
    <mergeCell ref="H11:K11"/>
    <mergeCell ref="H12:H13"/>
    <mergeCell ref="J12:J13"/>
    <mergeCell ref="K12:K13"/>
    <mergeCell ref="O3:P4"/>
    <mergeCell ref="B4:K4"/>
    <mergeCell ref="C108:F108"/>
    <mergeCell ref="B11:B13"/>
    <mergeCell ref="C11:C13"/>
    <mergeCell ref="D11:D13"/>
    <mergeCell ref="E11:E13"/>
    <mergeCell ref="F11:F13"/>
    <mergeCell ref="G11:G13"/>
    <mergeCell ref="I12:I13"/>
  </mergeCells>
  <phoneticPr fontId="135" type="noConversion"/>
  <conditionalFormatting sqref="C15">
    <cfRule type="cellIs" dxfId="15" priority="120" operator="equal">
      <formula>0</formula>
    </cfRule>
  </conditionalFormatting>
  <conditionalFormatting sqref="C17:C18">
    <cfRule type="cellIs" dxfId="14" priority="26" operator="equal">
      <formula>0</formula>
    </cfRule>
  </conditionalFormatting>
  <conditionalFormatting sqref="C21">
    <cfRule type="cellIs" dxfId="13" priority="20" operator="equal">
      <formula>0</formula>
    </cfRule>
  </conditionalFormatting>
  <conditionalFormatting sqref="C25">
    <cfRule type="cellIs" dxfId="12" priority="19" operator="equal">
      <formula>0</formula>
    </cfRule>
  </conditionalFormatting>
  <conditionalFormatting sqref="C86">
    <cfRule type="cellIs" dxfId="11" priority="11" operator="equal">
      <formula>0</formula>
    </cfRule>
  </conditionalFormatting>
  <conditionalFormatting sqref="C89">
    <cfRule type="cellIs" dxfId="10" priority="9" operator="equal">
      <formula>0</formula>
    </cfRule>
  </conditionalFormatting>
  <conditionalFormatting sqref="E1:E3 E5:E13 H12:I12 O13 E105:G105 H105:K107 E106:H106 E107:F107 E14:K51 E52:E57 G52:K57 S14:V102 E58:K104">
    <cfRule type="cellIs" dxfId="9" priority="1164" stopIfTrue="1" operator="equal">
      <formula>0</formula>
    </cfRule>
  </conditionalFormatting>
  <conditionalFormatting sqref="G1:G13">
    <cfRule type="cellIs" dxfId="8" priority="89" stopIfTrue="1" operator="equal">
      <formula>0</formula>
    </cfRule>
  </conditionalFormatting>
  <conditionalFormatting sqref="G106:G65572 E111:E65572">
    <cfRule type="cellIs" dxfId="7" priority="298" stopIfTrue="1" operator="equal">
      <formula>0</formula>
    </cfRule>
  </conditionalFormatting>
  <conditionalFormatting sqref="C81">
    <cfRule type="cellIs" dxfId="6" priority="7" operator="equal">
      <formula>0</formula>
    </cfRule>
  </conditionalFormatting>
  <conditionalFormatting sqref="C82">
    <cfRule type="cellIs" dxfId="5" priority="6" operator="equal">
      <formula>0</formula>
    </cfRule>
  </conditionalFormatting>
  <conditionalFormatting sqref="C103">
    <cfRule type="cellIs" dxfId="4" priority="5" operator="equal">
      <formula>0</formula>
    </cfRule>
  </conditionalFormatting>
  <conditionalFormatting sqref="C100">
    <cfRule type="cellIs" dxfId="3" priority="4" operator="equal">
      <formula>0</formula>
    </cfRule>
  </conditionalFormatting>
  <conditionalFormatting sqref="C101">
    <cfRule type="cellIs" dxfId="2" priority="3" operator="equal">
      <formula>0</formula>
    </cfRule>
  </conditionalFormatting>
  <conditionalFormatting sqref="C102">
    <cfRule type="cellIs" dxfId="1" priority="2" operator="equal">
      <formula>0</formula>
    </cfRule>
  </conditionalFormatting>
  <conditionalFormatting sqref="F52:F57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92:F102 F83 C22:C24 H14:K107 F16:F7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105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opLeftCell="A13" zoomScale="80" zoomScaleNormal="80" zoomScaleSheetLayoutView="100" workbookViewId="0">
      <selection activeCell="W25" sqref="W25:X25"/>
    </sheetView>
  </sheetViews>
  <sheetFormatPr defaultColWidth="9.140625" defaultRowHeight="12"/>
  <cols>
    <col min="1" max="2" width="1.42578125" style="462" customWidth="1"/>
    <col min="3" max="3" width="7.42578125" style="462" customWidth="1"/>
    <col min="4" max="23" width="5.7109375" style="462" customWidth="1"/>
    <col min="24" max="24" width="6.28515625" style="462" customWidth="1"/>
    <col min="25" max="26" width="5.7109375" style="462" customWidth="1"/>
    <col min="27" max="27" width="6.5703125" style="462" customWidth="1"/>
    <col min="28" max="118" width="5.7109375" style="462" customWidth="1"/>
    <col min="119" max="16384" width="9.140625" style="462"/>
  </cols>
  <sheetData>
    <row r="1" spans="3:30" ht="12.75" thickBot="1"/>
    <row r="2" spans="3:30" ht="12.75" customHeight="1">
      <c r="C2" s="463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4"/>
      <c r="R2" s="464"/>
      <c r="S2" s="464"/>
      <c r="T2" s="464"/>
      <c r="U2" s="464"/>
      <c r="V2" s="464"/>
      <c r="W2" s="707" t="s">
        <v>1438</v>
      </c>
      <c r="X2" s="708"/>
      <c r="Y2" s="708"/>
      <c r="Z2" s="708"/>
      <c r="AA2" s="708"/>
      <c r="AB2" s="708"/>
      <c r="AC2" s="708"/>
      <c r="AD2" s="709"/>
    </row>
    <row r="3" spans="3:30">
      <c r="C3" s="465"/>
      <c r="W3" s="710"/>
      <c r="X3" s="711"/>
      <c r="Y3" s="711"/>
      <c r="Z3" s="711"/>
      <c r="AA3" s="711"/>
      <c r="AB3" s="711"/>
      <c r="AC3" s="711"/>
      <c r="AD3" s="712"/>
    </row>
    <row r="4" spans="3:30">
      <c r="C4" s="465"/>
      <c r="G4" s="466" t="s">
        <v>1633</v>
      </c>
      <c r="W4" s="467" t="s">
        <v>987</v>
      </c>
      <c r="AD4" s="468"/>
    </row>
    <row r="5" spans="3:30">
      <c r="C5" s="465"/>
      <c r="W5" s="469" t="s">
        <v>991</v>
      </c>
      <c r="X5" s="654" t="s">
        <v>990</v>
      </c>
      <c r="Y5" s="654"/>
      <c r="Z5" s="654"/>
      <c r="AA5" s="654" t="s">
        <v>988</v>
      </c>
      <c r="AB5" s="654"/>
      <c r="AC5" s="654" t="s">
        <v>989</v>
      </c>
      <c r="AD5" s="655"/>
    </row>
    <row r="6" spans="3:30">
      <c r="C6" s="465"/>
      <c r="W6" s="469">
        <v>1</v>
      </c>
      <c r="X6" s="654" t="s">
        <v>993</v>
      </c>
      <c r="Y6" s="654"/>
      <c r="Z6" s="654"/>
      <c r="AA6" s="654"/>
      <c r="AB6" s="654"/>
      <c r="AC6" s="654"/>
      <c r="AD6" s="655"/>
    </row>
    <row r="7" spans="3:30">
      <c r="C7" s="465"/>
      <c r="W7" s="469">
        <v>2</v>
      </c>
      <c r="X7" s="654" t="s">
        <v>994</v>
      </c>
      <c r="Y7" s="654"/>
      <c r="Z7" s="654"/>
      <c r="AA7" s="654"/>
      <c r="AB7" s="654"/>
      <c r="AC7" s="654"/>
      <c r="AD7" s="655"/>
    </row>
    <row r="8" spans="3:30">
      <c r="C8" s="465"/>
      <c r="W8" s="469">
        <v>3</v>
      </c>
      <c r="X8" s="654" t="s">
        <v>995</v>
      </c>
      <c r="Y8" s="654"/>
      <c r="Z8" s="654"/>
      <c r="AA8" s="654"/>
      <c r="AB8" s="654"/>
      <c r="AC8" s="654"/>
      <c r="AD8" s="655"/>
    </row>
    <row r="9" spans="3:30">
      <c r="C9" s="465"/>
      <c r="W9" s="469">
        <v>4</v>
      </c>
      <c r="X9" s="654" t="s">
        <v>996</v>
      </c>
      <c r="Y9" s="654"/>
      <c r="Z9" s="654"/>
      <c r="AA9" s="654"/>
      <c r="AB9" s="654"/>
      <c r="AC9" s="654"/>
      <c r="AD9" s="655"/>
    </row>
    <row r="10" spans="3:30">
      <c r="C10" s="465"/>
      <c r="W10" s="469">
        <v>5</v>
      </c>
      <c r="X10" s="654" t="s">
        <v>997</v>
      </c>
      <c r="Y10" s="654"/>
      <c r="Z10" s="654"/>
      <c r="AA10" s="654"/>
      <c r="AB10" s="654"/>
      <c r="AC10" s="654"/>
      <c r="AD10" s="655"/>
    </row>
    <row r="11" spans="3:30">
      <c r="C11" s="465"/>
      <c r="W11" s="469">
        <v>6</v>
      </c>
      <c r="X11" s="654" t="s">
        <v>998</v>
      </c>
      <c r="Y11" s="654"/>
      <c r="Z11" s="654"/>
      <c r="AA11" s="654"/>
      <c r="AB11" s="654"/>
      <c r="AC11" s="654"/>
      <c r="AD11" s="655"/>
    </row>
    <row r="12" spans="3:30">
      <c r="C12" s="465"/>
      <c r="W12" s="469">
        <v>7</v>
      </c>
      <c r="X12" s="654" t="s">
        <v>999</v>
      </c>
      <c r="Y12" s="654"/>
      <c r="Z12" s="654"/>
      <c r="AA12" s="654"/>
      <c r="AB12" s="654"/>
      <c r="AC12" s="654"/>
      <c r="AD12" s="655"/>
    </row>
    <row r="13" spans="3:30" ht="12.75" customHeight="1">
      <c r="C13" s="465"/>
      <c r="W13" s="469">
        <v>8</v>
      </c>
      <c r="X13" s="654" t="s">
        <v>1000</v>
      </c>
      <c r="Y13" s="654"/>
      <c r="Z13" s="654"/>
      <c r="AA13" s="654"/>
      <c r="AB13" s="654"/>
      <c r="AC13" s="654"/>
      <c r="AD13" s="655"/>
    </row>
    <row r="14" spans="3:30">
      <c r="C14" s="465"/>
      <c r="W14" s="469">
        <v>9</v>
      </c>
      <c r="X14" s="654" t="s">
        <v>1001</v>
      </c>
      <c r="Y14" s="654"/>
      <c r="Z14" s="654"/>
      <c r="AA14" s="654"/>
      <c r="AB14" s="654"/>
      <c r="AC14" s="654"/>
      <c r="AD14" s="655"/>
    </row>
    <row r="15" spans="3:30">
      <c r="C15" s="465"/>
      <c r="W15" s="469">
        <v>10</v>
      </c>
      <c r="X15" s="654" t="s">
        <v>1010</v>
      </c>
      <c r="Y15" s="654"/>
      <c r="Z15" s="654"/>
      <c r="AA15" s="654"/>
      <c r="AB15" s="654"/>
      <c r="AC15" s="654"/>
      <c r="AD15" s="655"/>
    </row>
    <row r="16" spans="3:30">
      <c r="C16" s="465"/>
      <c r="W16" s="469">
        <v>11</v>
      </c>
      <c r="X16" s="654" t="s">
        <v>1454</v>
      </c>
      <c r="Y16" s="654"/>
      <c r="Z16" s="654"/>
      <c r="AA16" s="654"/>
      <c r="AB16" s="654"/>
      <c r="AC16" s="654"/>
      <c r="AD16" s="655"/>
    </row>
    <row r="17" spans="3:30">
      <c r="C17" s="465"/>
      <c r="S17" s="471"/>
      <c r="W17" s="469">
        <v>12</v>
      </c>
      <c r="X17" s="654" t="s">
        <v>1011</v>
      </c>
      <c r="Y17" s="654"/>
      <c r="Z17" s="654"/>
      <c r="AA17" s="654"/>
      <c r="AB17" s="654"/>
      <c r="AC17" s="654"/>
      <c r="AD17" s="655"/>
    </row>
    <row r="18" spans="3:30">
      <c r="C18" s="472"/>
      <c r="D18" s="473"/>
      <c r="E18" s="473"/>
      <c r="W18" s="469">
        <v>13</v>
      </c>
      <c r="X18" s="654"/>
      <c r="Y18" s="654"/>
      <c r="Z18" s="654"/>
      <c r="AA18" s="654"/>
      <c r="AB18" s="654"/>
      <c r="AC18" s="654"/>
      <c r="AD18" s="655"/>
    </row>
    <row r="19" spans="3:30">
      <c r="C19" s="465"/>
      <c r="W19" s="474"/>
      <c r="X19" s="696"/>
      <c r="Y19" s="696"/>
      <c r="Z19" s="696"/>
      <c r="AA19" s="696"/>
      <c r="AB19" s="696"/>
      <c r="AC19" s="696"/>
      <c r="AD19" s="697"/>
    </row>
    <row r="20" spans="3:30">
      <c r="C20" s="465"/>
      <c r="Q20" s="475"/>
      <c r="W20" s="698" t="s">
        <v>992</v>
      </c>
      <c r="X20" s="699"/>
      <c r="Y20" s="699"/>
      <c r="Z20" s="699"/>
      <c r="AA20" s="699"/>
      <c r="AB20" s="699"/>
      <c r="AC20" s="699"/>
      <c r="AD20" s="700"/>
    </row>
    <row r="21" spans="3:30">
      <c r="C21" s="465"/>
      <c r="W21" s="701" t="s">
        <v>985</v>
      </c>
      <c r="X21" s="702"/>
      <c r="Y21" s="702"/>
      <c r="Z21" s="703"/>
      <c r="AA21" s="704" t="s">
        <v>986</v>
      </c>
      <c r="AB21" s="705"/>
      <c r="AC21" s="705"/>
      <c r="AD21" s="706"/>
    </row>
    <row r="22" spans="3:30">
      <c r="C22" s="465"/>
      <c r="S22" s="476"/>
      <c r="W22" s="690" t="s">
        <v>1629</v>
      </c>
      <c r="X22" s="691"/>
      <c r="Y22" s="477" t="s">
        <v>1617</v>
      </c>
      <c r="Z22" s="478">
        <v>1</v>
      </c>
      <c r="AA22" s="692" t="s">
        <v>1637</v>
      </c>
      <c r="AB22" s="693"/>
      <c r="AC22" s="479" t="s">
        <v>1617</v>
      </c>
      <c r="AD22" s="480">
        <v>1</v>
      </c>
    </row>
    <row r="23" spans="3:30">
      <c r="C23" s="465"/>
      <c r="W23" s="690" t="s">
        <v>1618</v>
      </c>
      <c r="X23" s="691"/>
      <c r="Y23" s="477" t="s">
        <v>1617</v>
      </c>
      <c r="Z23" s="478">
        <v>1</v>
      </c>
      <c r="AA23" s="682" t="s">
        <v>1631</v>
      </c>
      <c r="AB23" s="683"/>
      <c r="AC23" s="479" t="s">
        <v>1632</v>
      </c>
      <c r="AD23" s="480">
        <v>200</v>
      </c>
    </row>
    <row r="24" spans="3:30">
      <c r="C24" s="465"/>
      <c r="W24" s="690" t="s">
        <v>1640</v>
      </c>
      <c r="X24" s="691"/>
      <c r="Y24" s="477" t="s">
        <v>1617</v>
      </c>
      <c r="Z24" s="478">
        <v>3</v>
      </c>
      <c r="AA24" s="694" t="s">
        <v>1640</v>
      </c>
      <c r="AB24" s="695"/>
      <c r="AC24" s="479" t="s">
        <v>1617</v>
      </c>
      <c r="AD24" s="480">
        <v>2</v>
      </c>
    </row>
    <row r="25" spans="3:30">
      <c r="C25" s="465"/>
      <c r="W25" s="690"/>
      <c r="X25" s="691"/>
      <c r="Y25" s="477"/>
      <c r="Z25" s="478"/>
      <c r="AA25" s="682" t="s">
        <v>1641</v>
      </c>
      <c r="AB25" s="683"/>
      <c r="AC25" s="479" t="s">
        <v>1617</v>
      </c>
      <c r="AD25" s="480">
        <v>3</v>
      </c>
    </row>
    <row r="26" spans="3:30">
      <c r="C26" s="465"/>
      <c r="W26" s="688"/>
      <c r="X26" s="689"/>
      <c r="Y26" s="477"/>
      <c r="Z26" s="478"/>
      <c r="AA26" s="682"/>
      <c r="AB26" s="683"/>
      <c r="AC26" s="479"/>
      <c r="AD26" s="480"/>
    </row>
    <row r="27" spans="3:30">
      <c r="C27" s="465"/>
      <c r="W27" s="688" t="s">
        <v>1630</v>
      </c>
      <c r="X27" s="689"/>
      <c r="Y27" s="477" t="s">
        <v>1617</v>
      </c>
      <c r="Z27" s="478">
        <v>1</v>
      </c>
      <c r="AA27" s="682"/>
      <c r="AB27" s="683"/>
      <c r="AC27" s="479"/>
      <c r="AD27" s="480"/>
    </row>
    <row r="28" spans="3:30">
      <c r="C28" s="465"/>
      <c r="W28" s="680" t="s">
        <v>1625</v>
      </c>
      <c r="X28" s="681"/>
      <c r="Y28" s="477" t="s">
        <v>1617</v>
      </c>
      <c r="Z28" s="478">
        <v>2</v>
      </c>
      <c r="AA28" s="682"/>
      <c r="AB28" s="683"/>
      <c r="AC28" s="479"/>
      <c r="AD28" s="480"/>
    </row>
    <row r="29" spans="3:30">
      <c r="C29" s="465"/>
      <c r="W29" s="688"/>
      <c r="X29" s="689"/>
      <c r="Y29" s="477"/>
      <c r="Z29" s="478"/>
      <c r="AA29" s="682"/>
      <c r="AB29" s="683"/>
      <c r="AC29" s="479"/>
      <c r="AD29" s="480"/>
    </row>
    <row r="30" spans="3:30" ht="11.25" customHeight="1">
      <c r="C30" s="465"/>
      <c r="W30" s="680"/>
      <c r="X30" s="681"/>
      <c r="Y30" s="477"/>
      <c r="Z30" s="478"/>
      <c r="AA30" s="682"/>
      <c r="AB30" s="683"/>
      <c r="AC30" s="479"/>
      <c r="AD30" s="480"/>
    </row>
    <row r="31" spans="3:30">
      <c r="C31" s="465"/>
      <c r="U31" s="485"/>
      <c r="W31" s="483" t="s">
        <v>1631</v>
      </c>
      <c r="X31" s="484"/>
      <c r="Y31" s="477" t="s">
        <v>1632</v>
      </c>
      <c r="Z31" s="478">
        <v>100</v>
      </c>
      <c r="AA31" s="682"/>
      <c r="AB31" s="683"/>
      <c r="AC31" s="479"/>
      <c r="AD31" s="480"/>
    </row>
    <row r="32" spans="3:30">
      <c r="C32" s="465"/>
      <c r="U32" s="485"/>
      <c r="W32" s="481"/>
      <c r="X32" s="482"/>
      <c r="Y32" s="477"/>
      <c r="Z32" s="478"/>
      <c r="AA32" s="682"/>
      <c r="AB32" s="683"/>
      <c r="AC32" s="479"/>
      <c r="AD32" s="480"/>
    </row>
    <row r="33" spans="3:30">
      <c r="C33" s="465"/>
      <c r="W33" s="680"/>
      <c r="X33" s="681"/>
      <c r="Y33" s="477"/>
      <c r="Z33" s="478"/>
      <c r="AA33" s="682"/>
      <c r="AB33" s="683"/>
      <c r="AC33" s="479"/>
      <c r="AD33" s="480"/>
    </row>
    <row r="34" spans="3:30">
      <c r="C34" s="465"/>
      <c r="Q34" s="462" t="s">
        <v>1607</v>
      </c>
      <c r="W34" s="680"/>
      <c r="X34" s="681"/>
      <c r="Y34" s="477"/>
      <c r="Z34" s="478"/>
      <c r="AA34" s="682"/>
      <c r="AB34" s="683"/>
      <c r="AC34" s="479"/>
      <c r="AD34" s="480"/>
    </row>
    <row r="35" spans="3:30">
      <c r="C35" s="465"/>
      <c r="W35" s="680"/>
      <c r="X35" s="681"/>
      <c r="Y35" s="477"/>
      <c r="Z35" s="478"/>
      <c r="AA35" s="682"/>
      <c r="AB35" s="683"/>
      <c r="AC35" s="479"/>
      <c r="AD35" s="480"/>
    </row>
    <row r="36" spans="3:30">
      <c r="C36" s="465"/>
      <c r="W36" s="680"/>
      <c r="X36" s="681"/>
      <c r="Y36" s="477"/>
      <c r="Z36" s="478"/>
      <c r="AA36" s="682"/>
      <c r="AB36" s="683"/>
      <c r="AC36" s="479"/>
      <c r="AD36" s="480"/>
    </row>
    <row r="37" spans="3:30" ht="12.75" customHeight="1">
      <c r="C37" s="465"/>
      <c r="W37" s="483"/>
      <c r="X37" s="486"/>
      <c r="Y37" s="477"/>
      <c r="Z37" s="478"/>
      <c r="AA37" s="684"/>
      <c r="AB37" s="685"/>
      <c r="AC37" s="479"/>
      <c r="AD37" s="487"/>
    </row>
    <row r="38" spans="3:30" ht="12.75" customHeight="1">
      <c r="C38" s="465"/>
      <c r="W38" s="488"/>
      <c r="X38" s="489"/>
      <c r="Y38" s="477"/>
      <c r="Z38" s="490"/>
      <c r="AA38" s="686"/>
      <c r="AB38" s="687"/>
      <c r="AC38" s="479"/>
      <c r="AD38" s="487"/>
    </row>
    <row r="39" spans="3:30" ht="12" customHeight="1">
      <c r="C39" s="465"/>
      <c r="W39" s="488"/>
      <c r="X39" s="489"/>
      <c r="Y39" s="477"/>
      <c r="Z39" s="490"/>
      <c r="AA39" s="668"/>
      <c r="AB39" s="669"/>
      <c r="AC39" s="479"/>
      <c r="AD39" s="487"/>
    </row>
    <row r="40" spans="3:30" ht="12" customHeight="1">
      <c r="C40" s="465"/>
      <c r="W40" s="491"/>
      <c r="X40" s="492"/>
      <c r="Y40" s="493"/>
      <c r="Z40" s="490"/>
      <c r="AA40" s="494"/>
      <c r="AB40" s="495"/>
      <c r="AC40" s="496"/>
      <c r="AD40" s="497"/>
    </row>
    <row r="41" spans="3:30" ht="12" customHeight="1">
      <c r="C41" s="465"/>
      <c r="W41" s="670"/>
      <c r="X41" s="671"/>
      <c r="Y41" s="498"/>
      <c r="Z41" s="499"/>
      <c r="AA41" s="672"/>
      <c r="AB41" s="673"/>
      <c r="AC41" s="496"/>
      <c r="AD41" s="497"/>
    </row>
    <row r="42" spans="3:30" ht="12" customHeight="1">
      <c r="C42" s="465"/>
      <c r="W42" s="674" t="s">
        <v>1624</v>
      </c>
      <c r="X42" s="675"/>
      <c r="Y42" s="675"/>
      <c r="Z42" s="675"/>
      <c r="AA42" s="675"/>
      <c r="AB42" s="675"/>
      <c r="AC42" s="675"/>
      <c r="AD42" s="676"/>
    </row>
    <row r="43" spans="3:30" ht="12" customHeight="1">
      <c r="C43" s="465"/>
      <c r="V43" s="500"/>
      <c r="W43" s="677"/>
      <c r="X43" s="678"/>
      <c r="Y43" s="678"/>
      <c r="Z43" s="678"/>
      <c r="AA43" s="678"/>
      <c r="AB43" s="678"/>
      <c r="AC43" s="678"/>
      <c r="AD43" s="679"/>
    </row>
    <row r="44" spans="3:30">
      <c r="C44" s="501"/>
      <c r="D44" s="502"/>
      <c r="E44" s="502"/>
      <c r="F44" s="502"/>
      <c r="G44" s="502"/>
      <c r="H44" s="502"/>
      <c r="I44" s="502"/>
      <c r="N44" s="502"/>
      <c r="O44" s="502"/>
      <c r="P44" s="502"/>
      <c r="Q44" s="502"/>
      <c r="R44" s="502"/>
      <c r="S44" s="502"/>
      <c r="T44" s="502"/>
      <c r="U44" s="502"/>
      <c r="V44" s="500"/>
      <c r="W44" s="666" t="s">
        <v>11</v>
      </c>
      <c r="X44" s="653"/>
      <c r="Y44" s="654"/>
      <c r="Z44" s="654"/>
      <c r="AA44" s="654"/>
      <c r="AB44" s="654"/>
      <c r="AC44" s="654"/>
      <c r="AD44" s="655"/>
    </row>
    <row r="45" spans="3:30">
      <c r="C45" s="501"/>
      <c r="D45" s="502"/>
      <c r="E45" s="502"/>
      <c r="F45" s="502"/>
      <c r="G45" s="502"/>
      <c r="H45" s="502"/>
      <c r="I45" s="502"/>
      <c r="N45" s="502"/>
      <c r="O45" s="502"/>
      <c r="P45" s="502"/>
      <c r="Q45" s="502"/>
      <c r="R45" s="502"/>
      <c r="S45" s="502"/>
      <c r="T45" s="502"/>
      <c r="U45" s="502"/>
      <c r="V45" s="500"/>
      <c r="W45" s="666" t="s">
        <v>984</v>
      </c>
      <c r="X45" s="653"/>
      <c r="Y45" s="654">
        <v>1</v>
      </c>
      <c r="Z45" s="654"/>
      <c r="AA45" s="654"/>
      <c r="AB45" s="654" t="s">
        <v>12</v>
      </c>
      <c r="AC45" s="654"/>
      <c r="AD45" s="470" t="s">
        <v>13</v>
      </c>
    </row>
    <row r="46" spans="3:30">
      <c r="C46" s="501"/>
      <c r="D46" s="502"/>
      <c r="E46" s="502"/>
      <c r="F46" s="502"/>
      <c r="G46" s="502"/>
      <c r="H46" s="502"/>
      <c r="I46" s="502"/>
      <c r="J46" s="502"/>
      <c r="K46" s="502"/>
      <c r="L46" s="502"/>
      <c r="M46" s="502"/>
      <c r="N46" s="502"/>
      <c r="O46" s="502"/>
      <c r="P46" s="502"/>
      <c r="Q46" s="502"/>
      <c r="R46" s="502"/>
      <c r="S46" s="502"/>
      <c r="T46" s="502"/>
      <c r="U46" s="502"/>
      <c r="V46" s="500"/>
      <c r="W46" s="666" t="s">
        <v>15</v>
      </c>
      <c r="X46" s="653"/>
      <c r="Y46" s="667"/>
      <c r="Z46" s="667"/>
      <c r="AA46" s="667"/>
      <c r="AB46" s="654" t="s">
        <v>16</v>
      </c>
      <c r="AC46" s="654"/>
      <c r="AD46" s="503"/>
    </row>
    <row r="47" spans="3:30">
      <c r="C47" s="501"/>
      <c r="D47" s="502"/>
      <c r="E47" s="502"/>
      <c r="F47" s="502"/>
      <c r="G47" s="502"/>
      <c r="H47" s="502"/>
      <c r="I47" s="502"/>
      <c r="J47" s="502"/>
      <c r="K47" s="502"/>
      <c r="L47" s="502"/>
      <c r="M47" s="502"/>
      <c r="N47" s="502"/>
      <c r="O47" s="502"/>
      <c r="P47" s="502"/>
      <c r="Q47" s="502"/>
      <c r="R47" s="502"/>
      <c r="S47" s="502"/>
      <c r="T47" s="502"/>
      <c r="U47" s="502"/>
      <c r="V47" s="500"/>
      <c r="W47" s="660" t="s">
        <v>17</v>
      </c>
      <c r="X47" s="660"/>
      <c r="Y47" s="660"/>
      <c r="Z47" s="660"/>
      <c r="AA47" s="660"/>
      <c r="AB47" s="660"/>
      <c r="AC47" s="660"/>
      <c r="AD47" s="661"/>
    </row>
    <row r="48" spans="3:30" ht="12.75" customHeight="1">
      <c r="C48" s="501"/>
      <c r="D48" s="502"/>
      <c r="E48" s="502"/>
      <c r="F48" s="502"/>
      <c r="G48" s="502"/>
      <c r="H48" s="502"/>
      <c r="I48" s="502"/>
      <c r="J48" s="502"/>
      <c r="K48" s="502"/>
      <c r="L48" s="502"/>
      <c r="M48" s="502"/>
      <c r="R48" s="502"/>
      <c r="S48" s="502"/>
      <c r="T48" s="502"/>
      <c r="U48" s="502"/>
      <c r="V48" s="500"/>
      <c r="W48" s="662" t="s">
        <v>1638</v>
      </c>
      <c r="X48" s="662"/>
      <c r="Y48" s="662"/>
      <c r="Z48" s="662"/>
      <c r="AA48" s="662"/>
      <c r="AB48" s="662"/>
      <c r="AC48" s="662"/>
      <c r="AD48" s="663"/>
    </row>
    <row r="49" spans="3:30">
      <c r="C49" s="501"/>
      <c r="D49" s="504"/>
      <c r="E49" s="502"/>
      <c r="F49" s="502"/>
      <c r="G49" s="502"/>
      <c r="I49" s="502"/>
      <c r="J49" s="502"/>
      <c r="K49" s="502"/>
      <c r="L49" s="502"/>
      <c r="M49" s="502"/>
      <c r="R49" s="502"/>
      <c r="S49" s="502"/>
      <c r="T49" s="502"/>
      <c r="U49" s="502"/>
      <c r="V49" s="505"/>
      <c r="W49" s="662"/>
      <c r="X49" s="662"/>
      <c r="Y49" s="662"/>
      <c r="Z49" s="662"/>
      <c r="AA49" s="662"/>
      <c r="AB49" s="662"/>
      <c r="AC49" s="662"/>
      <c r="AD49" s="663"/>
    </row>
    <row r="50" spans="3:30">
      <c r="C50" s="501"/>
      <c r="D50" s="506"/>
      <c r="E50" s="506"/>
      <c r="F50" s="506"/>
      <c r="G50" s="506"/>
      <c r="I50" s="502"/>
      <c r="J50" s="502"/>
      <c r="K50" s="502"/>
      <c r="L50" s="502"/>
      <c r="M50" s="502"/>
      <c r="N50" s="502"/>
      <c r="O50" s="502"/>
      <c r="P50" s="502"/>
      <c r="Q50" s="502"/>
      <c r="R50" s="502"/>
      <c r="S50" s="502"/>
      <c r="T50" s="502"/>
      <c r="U50" s="502"/>
      <c r="V50" s="505"/>
      <c r="W50" s="662"/>
      <c r="X50" s="662"/>
      <c r="Y50" s="662"/>
      <c r="Z50" s="662"/>
      <c r="AA50" s="662"/>
      <c r="AB50" s="662"/>
      <c r="AC50" s="662"/>
      <c r="AD50" s="663"/>
    </row>
    <row r="51" spans="3:30" ht="19.5" customHeight="1">
      <c r="C51" s="501"/>
      <c r="D51" s="506"/>
      <c r="E51" s="506"/>
      <c r="F51" s="506"/>
      <c r="G51" s="506"/>
      <c r="I51" s="502"/>
      <c r="J51" s="502"/>
      <c r="K51" s="502"/>
      <c r="L51" s="502"/>
      <c r="M51" s="502"/>
      <c r="N51" s="502"/>
      <c r="O51" s="502"/>
      <c r="P51" s="502"/>
      <c r="Q51" s="502"/>
      <c r="R51" s="502"/>
      <c r="S51" s="502"/>
      <c r="T51" s="502"/>
      <c r="U51" s="502"/>
      <c r="V51" s="505"/>
      <c r="W51" s="664"/>
      <c r="X51" s="664"/>
      <c r="Y51" s="664"/>
      <c r="Z51" s="664"/>
      <c r="AA51" s="664"/>
      <c r="AB51" s="664"/>
      <c r="AC51" s="664"/>
      <c r="AD51" s="665"/>
    </row>
    <row r="52" spans="3:30">
      <c r="C52" s="501"/>
      <c r="D52" s="507"/>
      <c r="E52" s="507"/>
      <c r="F52" s="507"/>
      <c r="G52" s="507"/>
      <c r="I52" s="502"/>
      <c r="J52" s="502"/>
      <c r="K52" s="502"/>
      <c r="L52" s="422"/>
      <c r="M52" s="502"/>
      <c r="N52" s="502"/>
      <c r="O52" s="502"/>
      <c r="P52" s="502"/>
      <c r="Q52" s="502"/>
      <c r="R52" s="502"/>
      <c r="S52" s="502"/>
      <c r="T52" s="502"/>
      <c r="U52" s="502"/>
      <c r="V52" s="500"/>
      <c r="W52" s="652" t="s">
        <v>18</v>
      </c>
      <c r="X52" s="653"/>
      <c r="Y52" s="654" t="s">
        <v>1623</v>
      </c>
      <c r="Z52" s="654"/>
      <c r="AA52" s="654"/>
      <c r="AB52" s="654"/>
      <c r="AC52" s="654"/>
      <c r="AD52" s="655"/>
    </row>
    <row r="53" spans="3:30">
      <c r="C53" s="501"/>
      <c r="D53" s="506"/>
      <c r="E53" s="506"/>
      <c r="F53" s="506"/>
      <c r="G53" s="506"/>
      <c r="I53" s="502"/>
      <c r="J53" s="502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V53" s="500"/>
      <c r="W53" s="652" t="s">
        <v>19</v>
      </c>
      <c r="X53" s="653"/>
      <c r="Y53" s="654" t="s">
        <v>1622</v>
      </c>
      <c r="Z53" s="654"/>
      <c r="AA53" s="654"/>
      <c r="AB53" s="654"/>
      <c r="AC53" s="654"/>
      <c r="AD53" s="655"/>
    </row>
    <row r="54" spans="3:30">
      <c r="C54" s="501"/>
      <c r="D54" s="423"/>
      <c r="E54" s="423"/>
      <c r="F54" s="423"/>
      <c r="G54" s="423"/>
      <c r="I54" s="502"/>
      <c r="J54" s="502"/>
      <c r="K54" s="502"/>
      <c r="L54" s="502"/>
      <c r="M54" s="502"/>
      <c r="N54" s="502"/>
      <c r="O54" s="502"/>
      <c r="P54" s="502"/>
      <c r="Q54" s="502"/>
      <c r="R54" s="502"/>
      <c r="S54" s="502"/>
      <c r="T54" s="502"/>
      <c r="V54" s="500"/>
      <c r="W54" s="652" t="s">
        <v>20</v>
      </c>
      <c r="X54" s="653"/>
      <c r="Y54" s="654" t="s">
        <v>1622</v>
      </c>
      <c r="Z54" s="654"/>
      <c r="AA54" s="654"/>
      <c r="AB54" s="654"/>
      <c r="AC54" s="654"/>
      <c r="AD54" s="655"/>
    </row>
    <row r="55" spans="3:30" ht="12.75" thickBot="1">
      <c r="C55" s="508"/>
      <c r="D55" s="509"/>
      <c r="E55" s="509"/>
      <c r="F55" s="509"/>
      <c r="G55" s="509"/>
      <c r="H55" s="509"/>
      <c r="I55" s="509"/>
      <c r="J55" s="509"/>
      <c r="K55" s="509"/>
      <c r="L55" s="509"/>
      <c r="M55" s="509"/>
      <c r="N55" s="509"/>
      <c r="O55" s="509"/>
      <c r="P55" s="509"/>
      <c r="Q55" s="509"/>
      <c r="R55" s="509"/>
      <c r="S55" s="509"/>
      <c r="T55" s="509"/>
      <c r="U55" s="510"/>
      <c r="V55" s="511"/>
      <c r="W55" s="656" t="s">
        <v>21</v>
      </c>
      <c r="X55" s="657"/>
      <c r="Y55" s="658" t="s">
        <v>1621</v>
      </c>
      <c r="Z55" s="658"/>
      <c r="AA55" s="658"/>
      <c r="AB55" s="658"/>
      <c r="AC55" s="658"/>
      <c r="AD55" s="659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D7" sqref="D7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13" t="s">
        <v>1619</v>
      </c>
      <c r="D3" s="714"/>
      <c r="E3" s="714"/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  <c r="AB3" s="715"/>
      <c r="AC3" s="430"/>
      <c r="AD3" s="428"/>
      <c r="AE3" s="428"/>
    </row>
    <row r="4" spans="2:31" ht="13.5" customHeight="1" thickBot="1">
      <c r="B4" s="429"/>
      <c r="C4" s="716"/>
      <c r="D4" s="717"/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717"/>
      <c r="AA4" s="717"/>
      <c r="AB4" s="718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tabSelected="1" zoomScale="43" zoomScaleNormal="130" zoomScaleSheetLayoutView="40" workbookViewId="0">
      <selection activeCell="AC44" sqref="AC44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9" t="s">
        <v>1620</v>
      </c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720"/>
      <c r="X4" s="720"/>
      <c r="Y4" s="720"/>
      <c r="Z4" s="720"/>
      <c r="AA4" s="720"/>
      <c r="AB4" s="720"/>
      <c r="AC4" s="721"/>
      <c r="AD4" s="206"/>
      <c r="AE4" s="205"/>
      <c r="AF4" s="205"/>
    </row>
    <row r="5" spans="2:32" ht="13.5" customHeight="1" thickBot="1">
      <c r="B5" s="204"/>
      <c r="C5" s="204"/>
      <c r="D5" s="722"/>
      <c r="E5" s="723"/>
      <c r="F5" s="723"/>
      <c r="G5" s="723"/>
      <c r="H5" s="723"/>
      <c r="I5" s="723"/>
      <c r="J5" s="723"/>
      <c r="K5" s="723"/>
      <c r="L5" s="723"/>
      <c r="M5" s="723"/>
      <c r="N5" s="723"/>
      <c r="O5" s="723"/>
      <c r="P5" s="723"/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3"/>
      <c r="AC5" s="724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8"/>
    </row>
    <row r="76" spans="2:32" ht="15" customHeight="1">
      <c r="F76" s="459"/>
      <c r="N76" s="458"/>
    </row>
    <row r="77" spans="2:32" ht="15" customHeight="1">
      <c r="F77" s="459"/>
      <c r="N77" s="458"/>
    </row>
    <row r="78" spans="2:32" ht="15" customHeight="1">
      <c r="F78" s="459"/>
      <c r="N78" s="458"/>
    </row>
    <row r="79" spans="2:32" ht="15" customHeight="1">
      <c r="F79" s="459"/>
      <c r="N79" s="458"/>
    </row>
    <row r="80" spans="2:32" ht="15" customHeight="1">
      <c r="F80" s="459"/>
      <c r="N80" s="458"/>
    </row>
    <row r="81" spans="6:14" ht="15" customHeight="1">
      <c r="F81" s="459"/>
      <c r="N81" s="458"/>
    </row>
    <row r="82" spans="6:14" ht="15" customHeight="1">
      <c r="F82" s="459"/>
      <c r="N82" s="458"/>
    </row>
    <row r="83" spans="6:14" ht="15" customHeight="1">
      <c r="F83" s="459"/>
      <c r="N83" s="458"/>
    </row>
    <row r="84" spans="6:14" ht="15" customHeight="1">
      <c r="F84" s="459"/>
      <c r="N84" s="458"/>
    </row>
    <row r="85" spans="6:14" ht="15" customHeight="1">
      <c r="F85" s="459"/>
      <c r="N85" s="458"/>
    </row>
    <row r="86" spans="6:14" ht="15" customHeight="1">
      <c r="F86" s="459"/>
      <c r="N86" s="458"/>
    </row>
    <row r="87" spans="6:14" ht="15" customHeight="1">
      <c r="F87" s="459"/>
      <c r="N87" s="458"/>
    </row>
    <row r="88" spans="6:14" ht="15" customHeight="1">
      <c r="F88" s="459"/>
      <c r="N88" s="458"/>
    </row>
    <row r="89" spans="6:14" ht="15" customHeight="1">
      <c r="F89" s="459"/>
      <c r="N89" s="458"/>
    </row>
    <row r="90" spans="6:14" ht="15" customHeight="1">
      <c r="F90" s="459"/>
      <c r="N90" s="458"/>
    </row>
    <row r="91" spans="6:14" ht="15" customHeight="1">
      <c r="F91" s="459"/>
      <c r="N91" s="458"/>
    </row>
    <row r="92" spans="6:14" ht="15" customHeight="1">
      <c r="F92" s="459"/>
      <c r="N92" s="458"/>
    </row>
    <row r="93" spans="6:14" ht="15" customHeight="1">
      <c r="F93" s="459"/>
      <c r="N93" s="458"/>
    </row>
    <row r="94" spans="6:14" ht="15" customHeight="1">
      <c r="F94" s="459"/>
      <c r="N94" s="458"/>
    </row>
    <row r="95" spans="6:14" ht="15" customHeight="1">
      <c r="F95" s="459"/>
      <c r="N95" s="458"/>
    </row>
    <row r="96" spans="6:14" ht="15" customHeight="1">
      <c r="F96" s="459"/>
      <c r="N96" s="458"/>
    </row>
    <row r="97" spans="6:14" ht="15" customHeight="1">
      <c r="F97" s="459"/>
      <c r="N97" s="458"/>
    </row>
    <row r="98" spans="6:14" ht="15" customHeight="1">
      <c r="F98" s="459"/>
    </row>
    <row r="99" spans="6:14" ht="15" customHeight="1">
      <c r="F99" s="459"/>
    </row>
    <row r="100" spans="6:14" ht="15" customHeight="1">
      <c r="F100" s="459"/>
    </row>
    <row r="101" spans="6:14" ht="15" customHeight="1">
      <c r="F101" s="459"/>
    </row>
    <row r="102" spans="6:14" ht="15" customHeight="1">
      <c r="F102" s="459"/>
    </row>
    <row r="103" spans="6:14" ht="15" customHeight="1">
      <c r="F103" s="459"/>
    </row>
    <row r="104" spans="6:14" ht="15" customHeight="1">
      <c r="F104" s="459"/>
    </row>
    <row r="105" spans="6:14" ht="15" customHeight="1">
      <c r="F105" s="459"/>
    </row>
    <row r="106" spans="6:14" ht="15" customHeight="1">
      <c r="F106" s="459"/>
    </row>
    <row r="107" spans="6:14" ht="15" customHeight="1">
      <c r="F107" s="459"/>
    </row>
    <row r="108" spans="6:14" ht="15" customHeight="1">
      <c r="F108" s="459"/>
    </row>
    <row r="109" spans="6:14" ht="15" customHeight="1">
      <c r="F109" s="459"/>
    </row>
    <row r="110" spans="6:14" ht="15" customHeight="1">
      <c r="F110" s="459"/>
    </row>
    <row r="111" spans="6:14" ht="15" customHeight="1">
      <c r="F111" s="459"/>
    </row>
    <row r="112" spans="6:14" ht="15" customHeight="1">
      <c r="F112" s="459"/>
    </row>
    <row r="113" spans="6:6" ht="15" customHeight="1">
      <c r="F113" s="459"/>
    </row>
    <row r="114" spans="6:6" ht="15" customHeight="1">
      <c r="F114" s="459"/>
    </row>
    <row r="115" spans="6:6" ht="15" customHeight="1">
      <c r="F115" s="459"/>
    </row>
    <row r="116" spans="6:6" ht="15" customHeight="1">
      <c r="F116" s="459"/>
    </row>
    <row r="117" spans="6:6" ht="15" customHeight="1">
      <c r="F117" s="459"/>
    </row>
    <row r="118" spans="6:6" ht="15" customHeight="1">
      <c r="F118" s="459"/>
    </row>
    <row r="119" spans="6:6" ht="15" customHeight="1">
      <c r="F119" s="459"/>
    </row>
    <row r="120" spans="6:6" ht="15" customHeight="1">
      <c r="F120" s="459"/>
    </row>
    <row r="121" spans="6:6" ht="15" customHeight="1">
      <c r="F121" s="459"/>
    </row>
    <row r="122" spans="6:6">
      <c r="F122" s="459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2023-12-11T04:19:15Z</dcterms:modified>
</cp:coreProperties>
</file>