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D8D18BBB-8038-4548-A98A-9F150447E58B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8" r:id="rId10"/>
    <sheet name="Peta lokasi" sheetId="79" r:id="rId11"/>
    <sheet name="SLD" sheetId="8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[29]MENU1!$D$4:$T$15</definedName>
    <definedName name="BULAN" localSheetId="10">[28]MENU1!$D$4:$T$15</definedName>
    <definedName name="BULAN" localSheetId="11">[28]MENU1!$D$4:$T$15</definedName>
    <definedName name="BULAN">[29]MENU1!$D$4:$T$15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[33]Sheet5!#REF!</definedName>
    <definedName name="DAWDFAFD" localSheetId="7">[33]Sheet5!#REF!</definedName>
    <definedName name="DAWDFAFD" localSheetId="10">[33]Sheet5!#REF!</definedName>
    <definedName name="DAWDFAFD">[33]Sheet5!#REF!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[44]JAN07!#REF!</definedName>
    <definedName name="FEEDERGGNSLG" localSheetId="6">[15]JAN07!#REF!</definedName>
    <definedName name="FEEDERGGNSLG" localSheetId="7">[15]JAN07!#REF!</definedName>
    <definedName name="FEEDERGGNSLG">[44]JAN07!#REF!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[46]Smg!$I$1:$I$863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 localSheetId="10">INDEX([48]KKO!#REF!,MATCH([48]KKO!#REF!:[48]KKO!#REF!,0)*2)</definedName>
    <definedName name="GBR" localSheetId="11">INDEX([48]KKO!#REF!,MATCH([48]KKO!#REF!:[48]KKO!#REF!,0)*2)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[49]RAB!$F$12:$J$175</definedName>
    <definedName name="hari" localSheetId="9">[50]Format!$AA$1:$AG$1</definedName>
    <definedName name="hari">[51]Format!$AA$1:$AG$1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'[52]MATERIAL juni 05'!$A$1:$AH$65536</definedName>
    <definedName name="HMRIEL">'[52]UPDATE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[53]DTU!$B$2:$D$48</definedName>
    <definedName name="input" localSheetId="6">'[54]Neraca seAPJ'!#REF!</definedName>
    <definedName name="input" localSheetId="9">'[54]Neraca seAPJ'!#REF!</definedName>
    <definedName name="input" localSheetId="7">'[54]Neraca seAPJ'!#REF!</definedName>
    <definedName name="input" localSheetId="5">'[54]Neraca seAPJ'!#REF!</definedName>
    <definedName name="input">'[54]Neraca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'[55]W-NAD'!#REF!</definedName>
    <definedName name="JAJA" localSheetId="7">'[55]W-NAD'!#REF!</definedName>
    <definedName name="JAJA" localSheetId="10">'[55]W-NAD'!#REF!</definedName>
    <definedName name="JAJA">'[55]W-NAD'!#REF!</definedName>
    <definedName name="jamkerja">'[56]D2. ANALISA HS INSHAR'!$D$2</definedName>
    <definedName name="JamKerja01">'[57]E3. ANALISA HS HAR TEK SUTM'!$D$2</definedName>
    <definedName name="jamkerjaentri" localSheetId="6">'[56]D2. ANALISA HS INSHAR'!#REF!</definedName>
    <definedName name="jamkerjaentri" localSheetId="9">'[56]D2. ANALISA HS INSHAR'!#REF!</definedName>
    <definedName name="jamkerjaentri" localSheetId="7">'[56]D2. ANALISA HS INSHAR'!#REF!</definedName>
    <definedName name="jamkerjaentri" localSheetId="5">'[56]D2. ANALISA HS INSHAR'!#REF!</definedName>
    <definedName name="jamkerjaentri">'[56]D2. ANALISA HS INSHAR'!#REF!</definedName>
    <definedName name="jamkerjahar">'[57]E6.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[58]Jasa!$B$1:$F$65536</definedName>
    <definedName name="jasa.">[58]Jasa!$B$1:$F$65536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[59]data!$F$2:$F$4</definedName>
    <definedName name="jenis_pph">[59]data!$E$2:$E$7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[44]JAN07!#REF!</definedName>
    <definedName name="KALISLG" localSheetId="6">[15]JAN07!#REF!</definedName>
    <definedName name="KALISLG" localSheetId="7">[15]JAN07!#REF!</definedName>
    <definedName name="KALISLG">[44]JAN07!#REF!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[60]Cover!$C$5</definedName>
    <definedName name="KursUSD">[61]Asumsi!$E$9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 localSheetId="10">INDEX([48]PDL!$B$1:$B$3,IFERROR(MATCH([48]KKO!$D$15,[48]PDL!$A$1:$A$2,),3))</definedName>
    <definedName name="Kutools_PDL0_1" localSheetId="11">INDEX([48]PDL!$B$1:$B$3,IFERROR(MATCH([48]KKO!$D$15,[48]PDL!$A$1:$A$2,),3))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 localSheetId="10">INDEX([48]PDL!$D$4:$D$6,IFERROR(MATCH([48]KKO!$D$15,[48]PDL!$C$4:$C$5,),3))</definedName>
    <definedName name="Kutools_PDL1_1" localSheetId="11">INDEX([48]PDL!$D$4:$D$6,IFERROR(MATCH([48]KKO!$D$15,[48]PDL!$C$4:$C$5,),3))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 localSheetId="10">INDEX([48]PDL!$V$31:$V$33,IFERROR(MATCH([48]KKO!$K$15,[48]PDL!$U$31:$U$32,),3))</definedName>
    <definedName name="Kutools_PDL10_1" localSheetId="11">INDEX([48]PDL!$V$31:$V$33,IFERROR(MATCH([48]KKO!$K$15,[48]PDL!$U$31:$U$32,),3))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 localSheetId="10">INDEX([48]PDL!$F$7:$F$9,IFERROR(MATCH([48]KKO!$K$15,[48]PDL!$E$7:$E$8,),3))</definedName>
    <definedName name="Kutools_PDL2_1" localSheetId="11">INDEX([48]PDL!$F$7:$F$9,IFERROR(MATCH([48]KKO!$K$15,[48]PDL!$E$7:$E$8,),3))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 localSheetId="10">INDEX([48]PDL!$H$10:$H$12,IFERROR(MATCH([48]KKO!$D$15,[48]PDL!$G$10:$G$11,),3))</definedName>
    <definedName name="Kutools_PDL3_1" localSheetId="11">INDEX([48]PDL!$H$10:$H$12,IFERROR(MATCH([48]KKO!$D$15,[48]PDL!$G$10:$G$11,),3))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 localSheetId="10">INDEX([48]PDL!$J$13:$J$15,IFERROR(MATCH([48]KKO!$D$15,[48]PDL!$I$13:$I$14,),3))</definedName>
    <definedName name="Kutools_PDL4_1" localSheetId="11">INDEX([48]PDL!$J$13:$J$15,IFERROR(MATCH([48]KKO!$D$15,[48]PDL!$I$13:$I$14,),3))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 localSheetId="10">INDEX([48]PDL!$L$16:$L$18,IFERROR(MATCH([48]KKO!$K$15,[48]PDL!$K$16:$K$17,),3))</definedName>
    <definedName name="Kutools_PDL5_1" localSheetId="11">INDEX([48]PDL!$L$16:$L$18,IFERROR(MATCH([48]KKO!$K$15,[48]PDL!$K$16:$K$17,),3))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 localSheetId="10">INDEX([48]PDL!$N$19:$N$21,IFERROR(MATCH([48]KKO!$D$15,[48]PDL!$M$19:$M$20,),3))</definedName>
    <definedName name="Kutools_PDL6_1" localSheetId="11">INDEX([48]PDL!$N$19:$N$21,IFERROR(MATCH([48]KKO!$D$15,[48]PDL!$M$19:$M$20,),3))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 localSheetId="10">INDEX([48]PDL!$P$22:$P$24,IFERROR(MATCH([48]KKO!$D$15,[48]PDL!$O$22:$O$23,),3))</definedName>
    <definedName name="Kutools_PDL7_1" localSheetId="11">INDEX([48]PDL!$P$22:$P$24,IFERROR(MATCH([48]KKO!$D$15,[48]PDL!$O$22:$O$23,),3))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 localSheetId="10">INDEX([48]PDL!$R$25:$R$27,IFERROR(MATCH([48]KKO!$D$15,[48]PDL!$Q$25:$Q$26,),3))</definedName>
    <definedName name="Kutools_PDL8_1" localSheetId="11">INDEX([48]PDL!$R$25:$R$27,IFERROR(MATCH([48]KKO!$D$15,[48]PDL!$Q$25:$Q$26,),3))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 localSheetId="10">INDEX([48]PDL!$T$28:$T$30,IFERROR(MATCH([48]KKO!$D$15,[48]PDL!$S$28:$S$29,),3))</definedName>
    <definedName name="Kutools_PDL9_1" localSheetId="11">INDEX([48]PDL!$T$28:$T$30,IFERROR(MATCH([48]KKO!$D$15,[48]PDL!$S$28:$S$29,),3))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[62]PMT!#REF!</definedName>
    <definedName name="l" localSheetId="7">[62]PMT!#REF!</definedName>
    <definedName name="l" localSheetId="10">[62]PMT!#REF!</definedName>
    <definedName name="l">[62]PMT!#REF!</definedName>
    <definedName name="L_19" localSheetId="6">'[63]FORM-B'!#REF!</definedName>
    <definedName name="L_19" localSheetId="7">'[63]FORM-B'!#REF!</definedName>
    <definedName name="L_19">'[63]FORM-B'!#REF!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[64]Asumsi!$V$2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[65]INPBA!$F$2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'[66]AHS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'[63]FORM-B'!#REF!</definedName>
    <definedName name="M_19" localSheetId="7">'[63]FORM-B'!#REF!</definedName>
    <definedName name="M_19" localSheetId="10">'[63]FORM-B'!#REF!</definedName>
    <definedName name="M_19">'[63]FORM-B'!#REF!</definedName>
    <definedName name="MANBUNG" localSheetId="6">[33]Sheet5!#REF!</definedName>
    <definedName name="MANBUNG" localSheetId="7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[58]Mat!$B$1:$L$65536</definedName>
    <definedName name="mat.">[58]Mat!$B$1:$L$65536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[67]aruskas!$A$110:$T$180</definedName>
    <definedName name="MD_19">[68]aruskas!$A$110:$T$180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'[69]Standar Konstruksi'!$G$29:$G$29</definedName>
    <definedName name="MmExcelLinker_56E02BF7_1622_44A2_A1B4_91C09D796B1E" localSheetId="7">KKF!RAB-PER '[69]Standar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[70]Cover!$B$7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[42]MENU!#REF!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[71]Valuation!$I$53</definedName>
    <definedName name="OUTGOING" localSheetId="9">[42]PARAMETER!$B$11:$B$1059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[72]TABEL!$A$2:$A$81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[47]KKO!#REF!</definedName>
    <definedName name="pict" localSheetId="10">[48]KKO!#REF!</definedName>
    <definedName name="pict" localSheetId="11">[48]KKO!#REF!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[62]PMT!$D$12:$D$55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[59]data!$G$2:$G$54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[33]Sheet5!#REF!</definedName>
    <definedName name="PRINT_AR01" localSheetId="9">[33]Sheet5!#REF!</definedName>
    <definedName name="PRINT_AR01" localSheetId="7">[33]Sheet5!#REF!</definedName>
    <definedName name="PRINT_AR01" localSheetId="10">[33]Sheet5!#REF!</definedName>
    <definedName name="PRINT_AR01">[33]Sheet5!#REF!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RAB!$A$1:$K$155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[33]Sheet5!#REF!</definedName>
    <definedName name="PRINT2" localSheetId="7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[73]JURNAL!#REF!</definedName>
    <definedName name="PUR" localSheetId="9">[73]JURNAL!#REF!</definedName>
    <definedName name="PUR" localSheetId="7">[73]JURNAL!#REF!</definedName>
    <definedName name="PUR" localSheetId="10">[73]JURNAL!#REF!</definedName>
    <definedName name="PUR">[73]JURNAL!#REF!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'[73]BB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[74]JAN07!#REF!</definedName>
    <definedName name="rtyu" localSheetId="9">[75]JAN07!#REF!</definedName>
    <definedName name="rtyu" localSheetId="7">[74]JAN07!#REF!</definedName>
    <definedName name="rtyu" localSheetId="10">[75]JAN07!#REF!</definedName>
    <definedName name="rtyu">[75]JAN07!#REF!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[76]PICKUP!$D$12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'[77]Rekap PMG.'!$A$10:$E$51</definedName>
    <definedName name="SATUAN">'[77]Rekap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[78]x!$G$9:$G$47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[53]DTU!$B$2:$D$48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'[79]master rab'!$B$1:$H$65536</definedName>
    <definedName name="seapj">'[54]Neraca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[80]LAIN2!$Z$7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[80]LAIN2!$Z$5</definedName>
    <definedName name="serib">[80]LAIN2!$Z$6</definedName>
    <definedName name="Service_Mapping">'[21]Service Mapping'!$C$6:$Y$39</definedName>
    <definedName name="sewadetektorkabel_har">'[66]AHS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'[66]AHS - Non Personel'!$D$27</definedName>
    <definedName name="SewaKantorBulan">'[66]AHS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'[66]AHS - Non Personel'!$D$32</definedName>
    <definedName name="SewaMobil" localSheetId="9">'[19]AHS - Non Personel'!$D$8</definedName>
    <definedName name="SewaMobil">#N/A</definedName>
    <definedName name="sewamobilbak_hari">'[66]AHS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'[66]AHS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[81]Sensitivitas!$D$26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[82]HB2!$A$1:$L$65536</definedName>
    <definedName name="stdpln">'[83]HB BARU'!$A$1:$J$780</definedName>
    <definedName name="stok">[73]DTstok!$A$1:$B$65536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'[84]master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[85]SuMBER!$N$3:$FO$21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[74]JAN07!#REF!</definedName>
    <definedName name="swed" localSheetId="7">[74]JAN07!#REF!</definedName>
    <definedName name="swed">[75]JAN07!#REF!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[86]Sheet1!$E$2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[87]bantu!$M$5:$X$5</definedName>
    <definedName name="Tahun">[88]bantu!$M$5:$X$5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[65]INPBA!$F$2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[80]LAIN2!$Z$10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[71]Valuation!$I$61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'[89]Rekap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[90]Usulan!#REF!</definedName>
    <definedName name="usul" localSheetId="9">[90]Usulan!#REF!</definedName>
    <definedName name="usul" localSheetId="7">[90]Usulan!#REF!</definedName>
    <definedName name="usul" localSheetId="5">[90]Usulan!#REF!</definedName>
    <definedName name="usul" localSheetId="10">[90]Usulan!#REF!</definedName>
    <definedName name="usul">[90]Usulan!#REF!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[74]JAN07!#REF!</definedName>
    <definedName name="x" localSheetId="7">[74]JAN07!#REF!</definedName>
    <definedName name="x">[75]JAN07!#REF!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[74]JAN07!#REF!</definedName>
    <definedName name="xs" localSheetId="9">[75]JAN07!#REF!</definedName>
    <definedName name="xs" localSheetId="7">[74]JAN07!#REF!</definedName>
    <definedName name="xs" localSheetId="5">[75]JAN07!#REF!</definedName>
    <definedName name="xs" localSheetId="10">[75]JAN07!#REF!</definedName>
    <definedName name="xs">[75]JAN07!#REF!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('[91]Submission Form'!$A$4:$C$5,'[91]Submission Form'!$D$7,'[91]Submission Form'!$D$10:$D$11,'[91]Submission Form'!$D$17:$D$26,'[91]Submission Form'!$D$33)</definedName>
    <definedName name="zz">'[67]Hal-1'!$M$33:$M$33</definedName>
    <definedName name="zz_19">'[68]Hal-1'!$M$33:$M$33</definedName>
    <definedName name="zzz">[67]aruskas!$A$110:$T$180</definedName>
    <definedName name="zzz_19">[68]aruskas!$A$110:$T$180</definedName>
  </definedNames>
  <calcPr calcId="191028"/>
</workbook>
</file>

<file path=xl/calcChain.xml><?xml version="1.0" encoding="utf-8"?>
<calcChain xmlns="http://schemas.openxmlformats.org/spreadsheetml/2006/main">
  <c r="F130" i="11" l="1"/>
  <c r="F129" i="11"/>
  <c r="F128" i="11"/>
  <c r="F127" i="11"/>
  <c r="F126" i="11"/>
  <c r="G124" i="11"/>
  <c r="G125" i="11"/>
  <c r="G126" i="11"/>
  <c r="G127" i="11"/>
  <c r="G128" i="11"/>
  <c r="G129" i="11"/>
  <c r="G130" i="11"/>
  <c r="D124" i="11"/>
  <c r="H124" i="11" s="1"/>
  <c r="E124" i="11"/>
  <c r="D125" i="11"/>
  <c r="J125" i="11" s="1"/>
  <c r="E125" i="11"/>
  <c r="D126" i="11"/>
  <c r="E126" i="11"/>
  <c r="D127" i="11"/>
  <c r="H127" i="11" s="1"/>
  <c r="E127" i="11"/>
  <c r="D128" i="11"/>
  <c r="H128" i="11" s="1"/>
  <c r="E128" i="11"/>
  <c r="D129" i="11"/>
  <c r="J129" i="11" s="1"/>
  <c r="E129" i="11"/>
  <c r="D130" i="11"/>
  <c r="I130" i="11" s="1"/>
  <c r="E130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D115" i="11"/>
  <c r="E115" i="11"/>
  <c r="D116" i="11"/>
  <c r="H116" i="11" s="1"/>
  <c r="E116" i="11"/>
  <c r="F90" i="11"/>
  <c r="F89" i="11"/>
  <c r="F88" i="11"/>
  <c r="F87" i="11"/>
  <c r="F84" i="11"/>
  <c r="F83" i="11"/>
  <c r="F82" i="11"/>
  <c r="F81" i="11"/>
  <c r="F80" i="11"/>
  <c r="F79" i="11"/>
  <c r="F76" i="11"/>
  <c r="F75" i="11"/>
  <c r="F74" i="11"/>
  <c r="F73" i="11"/>
  <c r="F70" i="11"/>
  <c r="F69" i="11"/>
  <c r="F68" i="11"/>
  <c r="F67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D65" i="11"/>
  <c r="H65" i="11" s="1"/>
  <c r="E65" i="11"/>
  <c r="D66" i="11"/>
  <c r="J66" i="11" s="1"/>
  <c r="E66" i="11"/>
  <c r="D67" i="11"/>
  <c r="E67" i="11"/>
  <c r="D68" i="11"/>
  <c r="H68" i="11" s="1"/>
  <c r="E68" i="11"/>
  <c r="D69" i="11"/>
  <c r="H69" i="11" s="1"/>
  <c r="E69" i="11"/>
  <c r="D70" i="11"/>
  <c r="E70" i="11"/>
  <c r="D71" i="11"/>
  <c r="I71" i="11" s="1"/>
  <c r="E71" i="11"/>
  <c r="D72" i="11"/>
  <c r="H72" i="11" s="1"/>
  <c r="E72" i="11"/>
  <c r="D73" i="11"/>
  <c r="H73" i="11" s="1"/>
  <c r="E73" i="11"/>
  <c r="D74" i="11"/>
  <c r="J74" i="11" s="1"/>
  <c r="E74" i="11"/>
  <c r="D75" i="11"/>
  <c r="E75" i="11"/>
  <c r="D76" i="11"/>
  <c r="H76" i="11" s="1"/>
  <c r="E76" i="11"/>
  <c r="D77" i="11"/>
  <c r="H77" i="11" s="1"/>
  <c r="E77" i="11"/>
  <c r="D78" i="11"/>
  <c r="J78" i="11" s="1"/>
  <c r="E78" i="11"/>
  <c r="D79" i="11"/>
  <c r="E79" i="11"/>
  <c r="D80" i="11"/>
  <c r="H80" i="11" s="1"/>
  <c r="E80" i="11"/>
  <c r="D81" i="11"/>
  <c r="H81" i="11" s="1"/>
  <c r="E81" i="11"/>
  <c r="D82" i="11"/>
  <c r="J82" i="11" s="1"/>
  <c r="E82" i="11"/>
  <c r="D83" i="11"/>
  <c r="E83" i="11"/>
  <c r="D84" i="11"/>
  <c r="H84" i="11" s="1"/>
  <c r="E84" i="11"/>
  <c r="D85" i="11"/>
  <c r="H85" i="11" s="1"/>
  <c r="E85" i="11"/>
  <c r="D86" i="11"/>
  <c r="J86" i="11" s="1"/>
  <c r="E86" i="11"/>
  <c r="D87" i="11"/>
  <c r="E87" i="11"/>
  <c r="D88" i="11"/>
  <c r="H88" i="11" s="1"/>
  <c r="E88" i="11"/>
  <c r="D89" i="11"/>
  <c r="H89" i="11" s="1"/>
  <c r="E89" i="11"/>
  <c r="D90" i="11"/>
  <c r="E90" i="11"/>
  <c r="D91" i="11"/>
  <c r="I91" i="11" s="1"/>
  <c r="E91" i="11"/>
  <c r="F64" i="11"/>
  <c r="F63" i="11"/>
  <c r="F62" i="11"/>
  <c r="F61" i="11"/>
  <c r="F60" i="11"/>
  <c r="F57" i="11"/>
  <c r="F56" i="11"/>
  <c r="F55" i="11"/>
  <c r="F54" i="11"/>
  <c r="F53" i="11"/>
  <c r="F50" i="11"/>
  <c r="F49" i="11"/>
  <c r="F48" i="11"/>
  <c r="F47" i="11"/>
  <c r="F46" i="11"/>
  <c r="F45" i="11"/>
  <c r="F44" i="11"/>
  <c r="F43" i="11"/>
  <c r="F42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D40" i="11"/>
  <c r="H40" i="11" s="1"/>
  <c r="E40" i="11"/>
  <c r="D41" i="11"/>
  <c r="J41" i="11" s="1"/>
  <c r="E41" i="11"/>
  <c r="D42" i="11"/>
  <c r="E42" i="11"/>
  <c r="D43" i="11"/>
  <c r="H43" i="11" s="1"/>
  <c r="E43" i="11"/>
  <c r="D44" i="11"/>
  <c r="H44" i="11" s="1"/>
  <c r="E44" i="11"/>
  <c r="D45" i="11"/>
  <c r="J45" i="11" s="1"/>
  <c r="E45" i="11"/>
  <c r="D46" i="11"/>
  <c r="E46" i="11"/>
  <c r="D47" i="11"/>
  <c r="H47" i="11" s="1"/>
  <c r="E47" i="11"/>
  <c r="D48" i="11"/>
  <c r="H48" i="11" s="1"/>
  <c r="E48" i="11"/>
  <c r="D49" i="11"/>
  <c r="J49" i="11" s="1"/>
  <c r="E49" i="11"/>
  <c r="D50" i="11"/>
  <c r="I50" i="11" s="1"/>
  <c r="E50" i="11"/>
  <c r="D51" i="11"/>
  <c r="H51" i="11" s="1"/>
  <c r="E51" i="11"/>
  <c r="D52" i="11"/>
  <c r="H52" i="11" s="1"/>
  <c r="E52" i="11"/>
  <c r="D53" i="11"/>
  <c r="J53" i="11" s="1"/>
  <c r="E53" i="11"/>
  <c r="D54" i="11"/>
  <c r="E54" i="11"/>
  <c r="D55" i="11"/>
  <c r="H55" i="11" s="1"/>
  <c r="E55" i="11"/>
  <c r="D56" i="11"/>
  <c r="H56" i="11" s="1"/>
  <c r="E56" i="11"/>
  <c r="D57" i="11"/>
  <c r="E57" i="11"/>
  <c r="D58" i="11"/>
  <c r="I58" i="11" s="1"/>
  <c r="E58" i="11"/>
  <c r="D59" i="11"/>
  <c r="H59" i="11" s="1"/>
  <c r="E59" i="11"/>
  <c r="D60" i="11"/>
  <c r="H60" i="11" s="1"/>
  <c r="E60" i="11"/>
  <c r="D61" i="11"/>
  <c r="J61" i="11" s="1"/>
  <c r="E61" i="11"/>
  <c r="D62" i="11"/>
  <c r="E62" i="11"/>
  <c r="D63" i="11"/>
  <c r="H63" i="11" s="1"/>
  <c r="E63" i="11"/>
  <c r="D64" i="11"/>
  <c r="H64" i="11" s="1"/>
  <c r="E64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7" i="11"/>
  <c r="D17" i="11"/>
  <c r="H17" i="11" s="1"/>
  <c r="E17" i="11"/>
  <c r="I129" i="11" l="1"/>
  <c r="I125" i="11"/>
  <c r="I126" i="11"/>
  <c r="H130" i="11"/>
  <c r="J128" i="11"/>
  <c r="H126" i="11"/>
  <c r="J124" i="11"/>
  <c r="H129" i="11"/>
  <c r="I128" i="11"/>
  <c r="K128" i="11" s="1"/>
  <c r="J127" i="11"/>
  <c r="H125" i="11"/>
  <c r="I124" i="11"/>
  <c r="J70" i="11"/>
  <c r="J130" i="11"/>
  <c r="I127" i="11"/>
  <c r="J126" i="11"/>
  <c r="J90" i="11"/>
  <c r="I75" i="11"/>
  <c r="I67" i="11"/>
  <c r="I87" i="11"/>
  <c r="I83" i="11"/>
  <c r="J116" i="11"/>
  <c r="H115" i="11"/>
  <c r="I79" i="11"/>
  <c r="I116" i="11"/>
  <c r="J115" i="11"/>
  <c r="I115" i="11"/>
  <c r="I90" i="11"/>
  <c r="I78" i="11"/>
  <c r="J76" i="11"/>
  <c r="I70" i="11"/>
  <c r="I86" i="11"/>
  <c r="J80" i="11"/>
  <c r="H78" i="11"/>
  <c r="I66" i="11"/>
  <c r="J57" i="11"/>
  <c r="I82" i="11"/>
  <c r="I74" i="11"/>
  <c r="H90" i="11"/>
  <c r="I89" i="11"/>
  <c r="J88" i="11"/>
  <c r="H86" i="11"/>
  <c r="I85" i="11"/>
  <c r="J84" i="11"/>
  <c r="H82" i="11"/>
  <c r="I81" i="11"/>
  <c r="I77" i="11"/>
  <c r="H74" i="11"/>
  <c r="I73" i="11"/>
  <c r="J72" i="11"/>
  <c r="H70" i="11"/>
  <c r="I69" i="11"/>
  <c r="J68" i="11"/>
  <c r="H66" i="11"/>
  <c r="I65" i="11"/>
  <c r="H91" i="11"/>
  <c r="J89" i="11"/>
  <c r="H87" i="11"/>
  <c r="J85" i="11"/>
  <c r="H83" i="11"/>
  <c r="J81" i="11"/>
  <c r="H79" i="11"/>
  <c r="J77" i="11"/>
  <c r="H75" i="11"/>
  <c r="J73" i="11"/>
  <c r="H71" i="11"/>
  <c r="J69" i="11"/>
  <c r="H67" i="11"/>
  <c r="J65" i="11"/>
  <c r="I62" i="11"/>
  <c r="I54" i="11"/>
  <c r="J91" i="11"/>
  <c r="I88" i="11"/>
  <c r="K88" i="11" s="1"/>
  <c r="J87" i="11"/>
  <c r="I84" i="11"/>
  <c r="J83" i="11"/>
  <c r="I80" i="11"/>
  <c r="J79" i="11"/>
  <c r="I76" i="11"/>
  <c r="J75" i="11"/>
  <c r="I72" i="11"/>
  <c r="J71" i="11"/>
  <c r="I68" i="11"/>
  <c r="J67" i="11"/>
  <c r="I46" i="11"/>
  <c r="I42" i="11"/>
  <c r="I45" i="11"/>
  <c r="I41" i="11"/>
  <c r="I53" i="11"/>
  <c r="I49" i="11"/>
  <c r="J64" i="11"/>
  <c r="H62" i="11"/>
  <c r="I61" i="11"/>
  <c r="J60" i="11"/>
  <c r="H58" i="11"/>
  <c r="I57" i="11"/>
  <c r="J56" i="11"/>
  <c r="H54" i="11"/>
  <c r="J52" i="11"/>
  <c r="H50" i="11"/>
  <c r="J48" i="11"/>
  <c r="H46" i="11"/>
  <c r="J44" i="11"/>
  <c r="H42" i="11"/>
  <c r="J40" i="11"/>
  <c r="I64" i="11"/>
  <c r="J63" i="11"/>
  <c r="H61" i="11"/>
  <c r="I60" i="11"/>
  <c r="J59" i="11"/>
  <c r="H57" i="11"/>
  <c r="I56" i="11"/>
  <c r="J55" i="11"/>
  <c r="H53" i="11"/>
  <c r="I52" i="11"/>
  <c r="J51" i="11"/>
  <c r="H49" i="11"/>
  <c r="I48" i="11"/>
  <c r="J47" i="11"/>
  <c r="H45" i="11"/>
  <c r="I44" i="11"/>
  <c r="J43" i="11"/>
  <c r="H41" i="11"/>
  <c r="I40" i="11"/>
  <c r="I63" i="11"/>
  <c r="J62" i="11"/>
  <c r="I59" i="11"/>
  <c r="J58" i="11"/>
  <c r="I55" i="11"/>
  <c r="K55" i="11" s="1"/>
  <c r="J54" i="11"/>
  <c r="I51" i="11"/>
  <c r="J50" i="11"/>
  <c r="I47" i="11"/>
  <c r="J46" i="11"/>
  <c r="I43" i="11"/>
  <c r="J42" i="11"/>
  <c r="J17" i="11"/>
  <c r="I17" i="11"/>
  <c r="K127" i="11" l="1"/>
  <c r="K125" i="11"/>
  <c r="K129" i="11"/>
  <c r="K115" i="11"/>
  <c r="K116" i="11"/>
  <c r="K124" i="11"/>
  <c r="K130" i="11"/>
  <c r="K126" i="11"/>
  <c r="K76" i="11"/>
  <c r="K90" i="11"/>
  <c r="K78" i="11"/>
  <c r="K66" i="11"/>
  <c r="K45" i="11"/>
  <c r="K74" i="11"/>
  <c r="K48" i="11"/>
  <c r="K40" i="11"/>
  <c r="K56" i="11"/>
  <c r="K72" i="11"/>
  <c r="K73" i="11"/>
  <c r="K70" i="11"/>
  <c r="K89" i="11"/>
  <c r="K77" i="11"/>
  <c r="K85" i="11"/>
  <c r="K81" i="11"/>
  <c r="K86" i="11"/>
  <c r="K80" i="11"/>
  <c r="K65" i="11"/>
  <c r="K68" i="11"/>
  <c r="K82" i="11"/>
  <c r="K69" i="11"/>
  <c r="K84" i="11"/>
  <c r="K67" i="11"/>
  <c r="K91" i="11"/>
  <c r="K43" i="11"/>
  <c r="K59" i="11"/>
  <c r="K41" i="11"/>
  <c r="K75" i="11"/>
  <c r="K71" i="11"/>
  <c r="K79" i="11"/>
  <c r="K87" i="11"/>
  <c r="K83" i="11"/>
  <c r="K49" i="11"/>
  <c r="K64" i="11"/>
  <c r="K52" i="11"/>
  <c r="K44" i="11"/>
  <c r="K47" i="11"/>
  <c r="K63" i="11"/>
  <c r="K60" i="11"/>
  <c r="K57" i="11"/>
  <c r="K51" i="11"/>
  <c r="K53" i="11"/>
  <c r="K17" i="11"/>
  <c r="K46" i="11"/>
  <c r="K54" i="11"/>
  <c r="K61" i="11"/>
  <c r="K42" i="11"/>
  <c r="K50" i="11"/>
  <c r="K62" i="11"/>
  <c r="K58" i="11"/>
  <c r="G133" i="11" l="1"/>
  <c r="D133" i="11"/>
  <c r="H133" i="11" s="1"/>
  <c r="E133" i="11"/>
  <c r="D131" i="11"/>
  <c r="E131" i="11"/>
  <c r="D132" i="11"/>
  <c r="E132" i="11"/>
  <c r="D134" i="11"/>
  <c r="E134" i="11"/>
  <c r="F123" i="11"/>
  <c r="F121" i="11"/>
  <c r="F120" i="11"/>
  <c r="F119" i="11"/>
  <c r="D118" i="11"/>
  <c r="E118" i="11"/>
  <c r="D119" i="11"/>
  <c r="E119" i="11"/>
  <c r="D120" i="11"/>
  <c r="E120" i="11"/>
  <c r="D121" i="11"/>
  <c r="E121" i="11"/>
  <c r="D122" i="11"/>
  <c r="E122" i="11"/>
  <c r="D123" i="11"/>
  <c r="E123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D20" i="11"/>
  <c r="H20" i="11" s="1"/>
  <c r="E20" i="11"/>
  <c r="D21" i="11"/>
  <c r="J21" i="11" s="1"/>
  <c r="E21" i="11"/>
  <c r="D22" i="11"/>
  <c r="I22" i="11" s="1"/>
  <c r="E22" i="11"/>
  <c r="D23" i="11"/>
  <c r="E23" i="11"/>
  <c r="D24" i="11"/>
  <c r="H24" i="11" s="1"/>
  <c r="E24" i="11"/>
  <c r="D25" i="11"/>
  <c r="J25" i="11" s="1"/>
  <c r="E25" i="11"/>
  <c r="D26" i="11"/>
  <c r="I26" i="11" s="1"/>
  <c r="E26" i="11"/>
  <c r="D27" i="11"/>
  <c r="H27" i="11" s="1"/>
  <c r="E27" i="11"/>
  <c r="D28" i="11"/>
  <c r="H28" i="11" s="1"/>
  <c r="E28" i="11"/>
  <c r="D29" i="11"/>
  <c r="J29" i="11" s="1"/>
  <c r="E29" i="11"/>
  <c r="D30" i="11"/>
  <c r="E30" i="11"/>
  <c r="D31" i="11"/>
  <c r="H31" i="11" s="1"/>
  <c r="E31" i="11"/>
  <c r="D32" i="11"/>
  <c r="H32" i="11" s="1"/>
  <c r="E32" i="11"/>
  <c r="D33" i="11"/>
  <c r="J33" i="11" s="1"/>
  <c r="E33" i="11"/>
  <c r="D34" i="11"/>
  <c r="E34" i="11"/>
  <c r="D35" i="11"/>
  <c r="H35" i="11" s="1"/>
  <c r="E35" i="11"/>
  <c r="D36" i="11"/>
  <c r="H36" i="11" s="1"/>
  <c r="E36" i="11"/>
  <c r="D37" i="11"/>
  <c r="J37" i="11" s="1"/>
  <c r="E37" i="11"/>
  <c r="D38" i="11"/>
  <c r="E38" i="11"/>
  <c r="D39" i="11"/>
  <c r="H39" i="11" s="1"/>
  <c r="E39" i="11"/>
  <c r="D92" i="11"/>
  <c r="E92" i="11"/>
  <c r="D16" i="11"/>
  <c r="E16" i="11"/>
  <c r="D18" i="11"/>
  <c r="E18" i="11"/>
  <c r="H92" i="11" l="1"/>
  <c r="I92" i="11"/>
  <c r="J92" i="11"/>
  <c r="I118" i="11"/>
  <c r="J118" i="11"/>
  <c r="H118" i="11"/>
  <c r="J133" i="11"/>
  <c r="I133" i="11"/>
  <c r="I34" i="11"/>
  <c r="H23" i="11"/>
  <c r="J32" i="11"/>
  <c r="J24" i="11"/>
  <c r="H34" i="11"/>
  <c r="H26" i="11"/>
  <c r="I38" i="11"/>
  <c r="I30" i="11"/>
  <c r="J36" i="11"/>
  <c r="J28" i="11"/>
  <c r="J20" i="11"/>
  <c r="H38" i="11"/>
  <c r="H30" i="11"/>
  <c r="H22" i="11"/>
  <c r="I37" i="11"/>
  <c r="I33" i="11"/>
  <c r="I29" i="11"/>
  <c r="I25" i="11"/>
  <c r="I21" i="11"/>
  <c r="J39" i="11"/>
  <c r="H37" i="11"/>
  <c r="I36" i="11"/>
  <c r="J35" i="11"/>
  <c r="H33" i="11"/>
  <c r="I32" i="11"/>
  <c r="J31" i="11"/>
  <c r="H29" i="11"/>
  <c r="I28" i="11"/>
  <c r="J27" i="11"/>
  <c r="H25" i="11"/>
  <c r="I24" i="11"/>
  <c r="J23" i="11"/>
  <c r="H21" i="11"/>
  <c r="I20" i="11"/>
  <c r="I39" i="11"/>
  <c r="J38" i="11"/>
  <c r="I35" i="11"/>
  <c r="J34" i="11"/>
  <c r="I31" i="11"/>
  <c r="J30" i="11"/>
  <c r="I27" i="11"/>
  <c r="J26" i="11"/>
  <c r="I23" i="11"/>
  <c r="J22" i="11"/>
  <c r="K92" i="11" l="1"/>
  <c r="K118" i="11"/>
  <c r="K133" i="11"/>
  <c r="K24" i="11"/>
  <c r="K31" i="11"/>
  <c r="K34" i="11"/>
  <c r="K36" i="11"/>
  <c r="K35" i="11"/>
  <c r="K32" i="11"/>
  <c r="K22" i="11"/>
  <c r="K23" i="11"/>
  <c r="K39" i="11"/>
  <c r="K26" i="11"/>
  <c r="K30" i="11"/>
  <c r="K28" i="11"/>
  <c r="K33" i="11"/>
  <c r="K27" i="11"/>
  <c r="K38" i="11"/>
  <c r="K20" i="11"/>
  <c r="K25" i="11"/>
  <c r="K29" i="11"/>
  <c r="K21" i="11"/>
  <c r="K37" i="11"/>
  <c r="D117" i="11" l="1"/>
  <c r="G119" i="11"/>
  <c r="H119" i="11" s="1"/>
  <c r="I119" i="11"/>
  <c r="J119" i="11"/>
  <c r="G120" i="11"/>
  <c r="H120" i="11" s="1"/>
  <c r="I120" i="11"/>
  <c r="J120" i="11"/>
  <c r="G121" i="11"/>
  <c r="H121" i="11" s="1"/>
  <c r="J121" i="11"/>
  <c r="G122" i="11"/>
  <c r="J122" i="11" s="1"/>
  <c r="H123" i="11"/>
  <c r="I123" i="11"/>
  <c r="G123" i="11"/>
  <c r="J123" i="11" s="1"/>
  <c r="H131" i="11"/>
  <c r="G131" i="11"/>
  <c r="I131" i="11" s="1"/>
  <c r="J131" i="11"/>
  <c r="H132" i="11"/>
  <c r="I132" i="11"/>
  <c r="G132" i="11"/>
  <c r="J132" i="11" s="1"/>
  <c r="H134" i="11"/>
  <c r="D135" i="11"/>
  <c r="H135" i="11" s="1"/>
  <c r="G134" i="11"/>
  <c r="D15" i="11"/>
  <c r="H15" i="11" s="1"/>
  <c r="H16" i="11"/>
  <c r="H18" i="11"/>
  <c r="D19" i="11"/>
  <c r="H19" i="11" s="1"/>
  <c r="G15" i="11"/>
  <c r="G16" i="11"/>
  <c r="G18" i="11"/>
  <c r="G19" i="11"/>
  <c r="D8" i="59"/>
  <c r="M136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113" i="11"/>
  <c r="D113" i="11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M23" i="11"/>
  <c r="M92" i="11"/>
  <c r="D14" i="59"/>
  <c r="F3" i="54" s="1"/>
  <c r="E19" i="11"/>
  <c r="E15" i="11"/>
  <c r="A15" i="11"/>
  <c r="D19" i="59"/>
  <c r="D8" i="60" s="1"/>
  <c r="D18" i="59"/>
  <c r="M16" i="11"/>
  <c r="E117" i="11"/>
  <c r="D114" i="11"/>
  <c r="E114" i="11"/>
  <c r="M116" i="11"/>
  <c r="E135" i="11"/>
  <c r="G135" i="11"/>
  <c r="D14" i="11"/>
  <c r="H14" i="11" s="1"/>
  <c r="E14" i="11"/>
  <c r="G14" i="11"/>
  <c r="K19" i="60"/>
  <c r="D19" i="60"/>
  <c r="M135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D7" i="60"/>
  <c r="K18" i="60"/>
  <c r="K17" i="60"/>
  <c r="D17" i="60"/>
  <c r="D18" i="60"/>
  <c r="D20" i="60" s="1"/>
  <c r="D6" i="60"/>
  <c r="D13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36" i="11"/>
  <c r="D137" i="11"/>
  <c r="H137" i="11" s="1"/>
  <c r="E13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137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36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44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75" i="39"/>
  <c r="D75" i="39" s="1"/>
  <c r="E75" i="3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65" i="39"/>
  <c r="D65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F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64" i="39"/>
  <c r="D64" i="39" s="1"/>
  <c r="C69" i="39"/>
  <c r="D69" i="39" s="1"/>
  <c r="C70" i="39"/>
  <c r="D70" i="39" s="1"/>
  <c r="E70" i="39" s="1"/>
  <c r="C66" i="39"/>
  <c r="D66" i="39" s="1"/>
  <c r="C76" i="39"/>
  <c r="D76" i="39" s="1"/>
  <c r="C74" i="39"/>
  <c r="D74" i="39" s="1"/>
  <c r="C68" i="39"/>
  <c r="D68" i="39" s="1"/>
  <c r="C72" i="39"/>
  <c r="D72" i="39" s="1"/>
  <c r="C332" i="29"/>
  <c r="D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F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F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I114" i="11"/>
  <c r="J114" i="11"/>
  <c r="H114" i="11"/>
  <c r="I94" i="11"/>
  <c r="J94" i="11"/>
  <c r="H94" i="11"/>
  <c r="H96" i="11"/>
  <c r="I96" i="11"/>
  <c r="J96" i="11"/>
  <c r="I98" i="11"/>
  <c r="J98" i="11"/>
  <c r="H98" i="11"/>
  <c r="H100" i="11"/>
  <c r="I100" i="11"/>
  <c r="J100" i="11"/>
  <c r="I102" i="11"/>
  <c r="J102" i="11"/>
  <c r="H102" i="11"/>
  <c r="H104" i="11"/>
  <c r="I104" i="11"/>
  <c r="J104" i="11"/>
  <c r="I106" i="11"/>
  <c r="J106" i="11"/>
  <c r="H106" i="11"/>
  <c r="H108" i="11"/>
  <c r="I108" i="11"/>
  <c r="J108" i="11"/>
  <c r="I110" i="11"/>
  <c r="J110" i="11"/>
  <c r="H110" i="11"/>
  <c r="H112" i="11"/>
  <c r="I112" i="11"/>
  <c r="J112" i="11"/>
  <c r="J93" i="11"/>
  <c r="H93" i="11"/>
  <c r="I93" i="11"/>
  <c r="H95" i="11"/>
  <c r="I95" i="11"/>
  <c r="J95" i="11"/>
  <c r="J97" i="11"/>
  <c r="H97" i="11"/>
  <c r="I97" i="11"/>
  <c r="H99" i="11"/>
  <c r="I99" i="11"/>
  <c r="J99" i="11"/>
  <c r="J101" i="11"/>
  <c r="H101" i="11"/>
  <c r="I101" i="11"/>
  <c r="H103" i="11"/>
  <c r="I103" i="11"/>
  <c r="J103" i="11"/>
  <c r="J105" i="11"/>
  <c r="H105" i="11"/>
  <c r="I105" i="11"/>
  <c r="H107" i="11"/>
  <c r="I107" i="11"/>
  <c r="J107" i="11"/>
  <c r="J109" i="11"/>
  <c r="H109" i="11"/>
  <c r="I109" i="11"/>
  <c r="H111" i="11"/>
  <c r="I111" i="11"/>
  <c r="J111" i="11"/>
  <c r="J113" i="11"/>
  <c r="H113" i="11"/>
  <c r="I113" i="11"/>
  <c r="J117" i="11"/>
  <c r="H117" i="11"/>
  <c r="I117" i="11"/>
  <c r="I121" i="11"/>
  <c r="K121" i="11" s="1"/>
  <c r="H122" i="11"/>
  <c r="I122" i="11"/>
  <c r="D9" i="59"/>
  <c r="K7" i="54" s="1"/>
  <c r="C7" i="54"/>
  <c r="H7" i="54" s="1"/>
  <c r="C8" i="54"/>
  <c r="I8" i="54" s="1"/>
  <c r="D22" i="59"/>
  <c r="K8" i="60" s="1"/>
  <c r="D21" i="59"/>
  <c r="K7" i="60" s="1"/>
  <c r="K9" i="60" s="1"/>
  <c r="K16" i="60" s="1"/>
  <c r="K20" i="60" s="1"/>
  <c r="D345" i="29"/>
  <c r="E345" i="29" s="1"/>
  <c r="K131" i="11"/>
  <c r="M131" i="11" s="1"/>
  <c r="D339" i="29"/>
  <c r="E339" i="29" s="1"/>
  <c r="D5" i="60"/>
  <c r="K5" i="60" s="1"/>
  <c r="F717" i="41"/>
  <c r="F739" i="41"/>
  <c r="D802" i="41"/>
  <c r="E802" i="41" s="1"/>
  <c r="D312" i="29"/>
  <c r="E312" i="29" s="1"/>
  <c r="K119" i="11"/>
  <c r="K120" i="11"/>
  <c r="F762" i="41"/>
  <c r="E247" i="29"/>
  <c r="F866" i="41"/>
  <c r="E858" i="41"/>
  <c r="F841" i="41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F776" i="41"/>
  <c r="F302" i="29"/>
  <c r="F304" i="29"/>
  <c r="F868" i="41"/>
  <c r="F764" i="41"/>
  <c r="E865" i="41"/>
  <c r="E842" i="41"/>
  <c r="E794" i="41"/>
  <c r="E813" i="41"/>
  <c r="F857" i="41"/>
  <c r="F289" i="29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137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337" i="29"/>
  <c r="F760" i="41"/>
  <c r="E760" i="41"/>
  <c r="E1020" i="41"/>
  <c r="E1037" i="41"/>
  <c r="E1004" i="41"/>
  <c r="E1216" i="41"/>
  <c r="E837" i="41"/>
  <c r="F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E282" i="29"/>
  <c r="F316" i="29"/>
  <c r="E1097" i="41"/>
  <c r="F291" i="29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E1116" i="41"/>
  <c r="E1123" i="41"/>
  <c r="E938" i="41"/>
  <c r="E1099" i="41"/>
  <c r="E326" i="29"/>
  <c r="F326" i="29"/>
  <c r="F839" i="41"/>
  <c r="E1029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F290" i="29"/>
  <c r="E307" i="29"/>
  <c r="F232" i="29"/>
  <c r="F246" i="29"/>
  <c r="F819" i="41"/>
  <c r="E990" i="41"/>
  <c r="F824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E880" i="41"/>
  <c r="E722" i="41"/>
  <c r="E286" i="29"/>
  <c r="F825" i="41"/>
  <c r="E872" i="41"/>
  <c r="E1121" i="41"/>
  <c r="E245" i="29"/>
  <c r="E1128" i="41"/>
  <c r="E1057" i="41"/>
  <c r="E966" i="41"/>
  <c r="E1226" i="41"/>
  <c r="E882" i="41"/>
  <c r="E784" i="41"/>
  <c r="E728" i="41"/>
  <c r="F728" i="41"/>
  <c r="E1289" i="41"/>
  <c r="E792" i="41"/>
  <c r="F792" i="41"/>
  <c r="F352" i="29"/>
  <c r="E352" i="29"/>
  <c r="E946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137" i="11"/>
  <c r="J19" i="11"/>
  <c r="F340" i="29"/>
  <c r="F318" i="29"/>
  <c r="E262" i="29"/>
  <c r="E281" i="29"/>
  <c r="F305" i="29"/>
  <c r="J36" i="39"/>
  <c r="M30" i="11"/>
  <c r="E1139" i="41"/>
  <c r="E1318" i="41"/>
  <c r="E343" i="29"/>
  <c r="F343" i="29"/>
  <c r="E1059" i="41"/>
  <c r="E918" i="41"/>
  <c r="E977" i="41"/>
  <c r="E58" i="39"/>
  <c r="F58" i="39"/>
  <c r="F777" i="41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M21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721" i="41"/>
  <c r="E754" i="41"/>
  <c r="F754" i="41"/>
  <c r="E853" i="41"/>
  <c r="F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724" i="41"/>
  <c r="E830" i="41"/>
  <c r="F830" i="41"/>
  <c r="E848" i="41"/>
  <c r="F848" i="41"/>
  <c r="E780" i="41"/>
  <c r="F780" i="41"/>
  <c r="F779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59" i="39"/>
  <c r="F341" i="29"/>
  <c r="E357" i="29"/>
  <c r="F295" i="29"/>
  <c r="F320" i="29"/>
  <c r="F225" i="29"/>
  <c r="F244" i="29"/>
  <c r="E273" i="29"/>
  <c r="F359" i="29"/>
  <c r="E359" i="29"/>
  <c r="F300" i="29"/>
  <c r="E300" i="29"/>
  <c r="E284" i="29"/>
  <c r="F284" i="29"/>
  <c r="E229" i="29"/>
  <c r="F229" i="29"/>
  <c r="E71" i="39"/>
  <c r="E346" i="29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16" i="11"/>
  <c r="J135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741" i="41"/>
  <c r="E833" i="41"/>
  <c r="F833" i="41"/>
  <c r="E1240" i="41"/>
  <c r="E919" i="41"/>
  <c r="E925" i="41"/>
  <c r="E887" i="41"/>
  <c r="E774" i="4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E979" i="41"/>
  <c r="E782" i="41"/>
  <c r="E1320" i="41"/>
  <c r="E770" i="41"/>
  <c r="F770" i="41"/>
  <c r="E1309" i="41"/>
  <c r="E816" i="41"/>
  <c r="F816" i="41"/>
  <c r="E957" i="41"/>
  <c r="E1176" i="41"/>
  <c r="F786" i="41"/>
  <c r="F765" i="41"/>
  <c r="E1145" i="41"/>
  <c r="E63" i="39"/>
  <c r="E368" i="29"/>
  <c r="E74" i="39"/>
  <c r="E64" i="39"/>
  <c r="E325" i="29"/>
  <c r="F325" i="29"/>
  <c r="E347" i="29"/>
  <c r="F347" i="29"/>
  <c r="E372" i="29"/>
  <c r="F329" i="29"/>
  <c r="E329" i="29"/>
  <c r="E259" i="29"/>
  <c r="F259" i="29"/>
  <c r="E323" i="29"/>
  <c r="F323" i="29"/>
  <c r="E349" i="29"/>
  <c r="F349" i="29"/>
  <c r="E72" i="39"/>
  <c r="E76" i="39"/>
  <c r="F362" i="29"/>
  <c r="E362" i="29"/>
  <c r="E364" i="29"/>
  <c r="F301" i="29"/>
  <c r="E301" i="29"/>
  <c r="F344" i="29"/>
  <c r="E336" i="29"/>
  <c r="F336" i="29"/>
  <c r="E370" i="29"/>
  <c r="E351" i="29"/>
  <c r="F351" i="29"/>
  <c r="F358" i="29"/>
  <c r="E358" i="29"/>
  <c r="E369" i="29"/>
  <c r="E328" i="29"/>
  <c r="F328" i="29"/>
  <c r="E238" i="29"/>
  <c r="F238" i="29"/>
  <c r="F272" i="29"/>
  <c r="E272" i="29"/>
  <c r="F60" i="39"/>
  <c r="E60" i="39"/>
  <c r="E327" i="29"/>
  <c r="E361" i="29"/>
  <c r="F361" i="29"/>
  <c r="E68" i="39"/>
  <c r="E366" i="29"/>
  <c r="E57" i="39"/>
  <c r="E61" i="39"/>
  <c r="F61" i="39"/>
  <c r="E334" i="29"/>
  <c r="F334" i="29"/>
  <c r="F235" i="29"/>
  <c r="E235" i="29"/>
  <c r="E270" i="29"/>
  <c r="F270" i="29"/>
  <c r="E228" i="29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E253" i="29"/>
  <c r="F253" i="29"/>
  <c r="F296" i="29"/>
  <c r="E296" i="29"/>
  <c r="E287" i="29"/>
  <c r="F287" i="29"/>
  <c r="E277" i="29"/>
  <c r="F277" i="29"/>
  <c r="E322" i="29"/>
  <c r="E275" i="29"/>
  <c r="F275" i="29"/>
  <c r="F274" i="29"/>
  <c r="E267" i="29"/>
  <c r="K132" i="11"/>
  <c r="M132" i="11" s="1"/>
  <c r="K123" i="11"/>
  <c r="M123" i="11" s="1"/>
  <c r="I135" i="11"/>
  <c r="J134" i="11"/>
  <c r="I19" i="11"/>
  <c r="J18" i="11"/>
  <c r="I16" i="11"/>
  <c r="J15" i="11"/>
  <c r="I134" i="11"/>
  <c r="I18" i="11"/>
  <c r="I15" i="11"/>
  <c r="K114" i="11" l="1"/>
  <c r="K15" i="11"/>
  <c r="K109" i="11"/>
  <c r="M109" i="11" s="1"/>
  <c r="K107" i="11"/>
  <c r="M107" i="11" s="1"/>
  <c r="K101" i="11"/>
  <c r="M101" i="11" s="1"/>
  <c r="K93" i="11"/>
  <c r="K112" i="11"/>
  <c r="M112" i="11" s="1"/>
  <c r="K104" i="11"/>
  <c r="M104" i="11" s="1"/>
  <c r="K96" i="11"/>
  <c r="K102" i="11"/>
  <c r="K94" i="11"/>
  <c r="M94" i="11" s="1"/>
  <c r="K113" i="11"/>
  <c r="M113" i="11" s="1"/>
  <c r="K105" i="11"/>
  <c r="M105" i="11" s="1"/>
  <c r="K99" i="11"/>
  <c r="M99" i="11" s="1"/>
  <c r="K97" i="11"/>
  <c r="M97" i="11" s="1"/>
  <c r="K117" i="11"/>
  <c r="M117" i="11" s="1"/>
  <c r="K106" i="11"/>
  <c r="M106" i="11" s="1"/>
  <c r="K98" i="11"/>
  <c r="M98" i="11" s="1"/>
  <c r="K110" i="11"/>
  <c r="M110" i="11" s="1"/>
  <c r="K111" i="11"/>
  <c r="M111" i="11" s="1"/>
  <c r="K103" i="11"/>
  <c r="M103" i="11" s="1"/>
  <c r="K95" i="11"/>
  <c r="K108" i="11"/>
  <c r="M108" i="11" s="1"/>
  <c r="K100" i="11"/>
  <c r="M100" i="11" s="1"/>
  <c r="F314" i="29"/>
  <c r="F804" i="41"/>
  <c r="F847" i="41"/>
  <c r="F357" i="29"/>
  <c r="F784" i="41"/>
  <c r="F720" i="41"/>
  <c r="F294" i="29"/>
  <c r="F230" i="29"/>
  <c r="F1176" i="41"/>
  <c r="F315" i="29"/>
  <c r="F805" i="41"/>
  <c r="F368" i="29"/>
  <c r="F367" i="29"/>
  <c r="F1145" i="41"/>
  <c r="F1198" i="41"/>
  <c r="F881" i="41"/>
  <c r="F1308" i="41"/>
  <c r="F72" i="39"/>
  <c r="F925" i="41"/>
  <c r="F63" i="39"/>
  <c r="F908" i="41"/>
  <c r="F1221" i="41"/>
  <c r="F1071" i="41"/>
  <c r="F1154" i="41"/>
  <c r="F364" i="29"/>
  <c r="K122" i="11"/>
  <c r="F292" i="29"/>
  <c r="F228" i="29"/>
  <c r="K14" i="11"/>
  <c r="M14" i="11" s="1"/>
  <c r="F854" i="41"/>
  <c r="F782" i="41"/>
  <c r="F718" i="41"/>
  <c r="F838" i="41"/>
  <c r="F332" i="29"/>
  <c r="M114" i="1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19" i="11"/>
  <c r="M19" i="11" s="1"/>
  <c r="M32" i="11"/>
  <c r="K137" i="11"/>
  <c r="M25" i="1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M24" i="1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M96" i="11"/>
  <c r="M93" i="11"/>
  <c r="K16" i="11"/>
  <c r="M95" i="11"/>
  <c r="K36" i="39"/>
  <c r="M28" i="11"/>
  <c r="M102" i="11"/>
  <c r="F802" i="41"/>
  <c r="F346" i="29"/>
  <c r="M26" i="11"/>
  <c r="K18" i="11"/>
  <c r="M18" i="11" s="1"/>
  <c r="F836" i="41"/>
  <c r="F345" i="29"/>
  <c r="K134" i="11"/>
  <c r="M134" i="11" s="1"/>
  <c r="K135" i="11"/>
  <c r="M29" i="11"/>
  <c r="M31" i="11"/>
  <c r="F339" i="29"/>
  <c r="F729" i="41"/>
  <c r="M15" i="11"/>
  <c r="M27" i="11"/>
  <c r="F312" i="29"/>
  <c r="F829" i="41"/>
  <c r="F350" i="29"/>
  <c r="F840" i="41"/>
  <c r="I136" i="11"/>
  <c r="I139" i="11" s="1"/>
  <c r="J136" i="11"/>
  <c r="J139" i="11" s="1"/>
  <c r="F239" i="29"/>
  <c r="F835" i="41"/>
  <c r="M22" i="11"/>
  <c r="H136" i="11"/>
  <c r="H139" i="11" s="1"/>
  <c r="C12" i="41" l="1"/>
  <c r="B12" i="41" s="1"/>
  <c r="F16" i="39"/>
  <c r="F12" i="41"/>
  <c r="C16" i="29"/>
  <c r="D16" i="29" s="1"/>
  <c r="I16" i="29" s="1"/>
  <c r="L8" i="54"/>
  <c r="M8" i="54" s="1"/>
  <c r="D9" i="54"/>
  <c r="C10" i="54"/>
  <c r="I9" i="54"/>
  <c r="H9" i="54"/>
  <c r="C16" i="39"/>
  <c r="B16" i="39" s="1"/>
  <c r="E16" i="39" s="1"/>
  <c r="C14" i="41"/>
  <c r="B14" i="41" s="1"/>
  <c r="F16" i="29"/>
  <c r="C35" i="39"/>
  <c r="F25" i="39"/>
  <c r="F30" i="39"/>
  <c r="F28" i="39"/>
  <c r="F36" i="39"/>
  <c r="F27" i="39"/>
  <c r="C21" i="39"/>
  <c r="B21" i="39" s="1"/>
  <c r="E21" i="39" s="1"/>
  <c r="F29" i="39"/>
  <c r="F35" i="39"/>
  <c r="C30" i="39"/>
  <c r="G30" i="39" s="1"/>
  <c r="C25" i="39"/>
  <c r="D25" i="39" s="1"/>
  <c r="C20" i="39"/>
  <c r="B20" i="39" s="1"/>
  <c r="E20" i="39" s="1"/>
  <c r="C17" i="39"/>
  <c r="G17" i="39" s="1"/>
  <c r="C22" i="39"/>
  <c r="D22" i="39" s="1"/>
  <c r="F18" i="39"/>
  <c r="C33" i="39"/>
  <c r="B33" i="39" s="1"/>
  <c r="E33" i="39" s="1"/>
  <c r="C31" i="39"/>
  <c r="B31" i="39" s="1"/>
  <c r="E31" i="39" s="1"/>
  <c r="F21" i="39"/>
  <c r="C18" i="39"/>
  <c r="G18" i="39" s="1"/>
  <c r="F33" i="39"/>
  <c r="C28" i="39"/>
  <c r="D28" i="39" s="1"/>
  <c r="F24" i="39"/>
  <c r="C27" i="39"/>
  <c r="B27" i="39" s="1"/>
  <c r="E27" i="39" s="1"/>
  <c r="F19" i="39"/>
  <c r="C19" i="39"/>
  <c r="G19" i="39" s="1"/>
  <c r="F34" i="39"/>
  <c r="F26" i="39"/>
  <c r="C23" i="39"/>
  <c r="D23" i="39" s="1"/>
  <c r="F17" i="39"/>
  <c r="C24" i="39"/>
  <c r="B24" i="39" s="1"/>
  <c r="E24" i="39" s="1"/>
  <c r="C34" i="39"/>
  <c r="G34" i="39" s="1"/>
  <c r="C29" i="39"/>
  <c r="G29" i="39" s="1"/>
  <c r="F23" i="39"/>
  <c r="C26" i="39"/>
  <c r="B26" i="39" s="1"/>
  <c r="E26" i="39" s="1"/>
  <c r="F22" i="39"/>
  <c r="C32" i="39"/>
  <c r="B32" i="39" s="1"/>
  <c r="E32" i="39" s="1"/>
  <c r="F32" i="39"/>
  <c r="F31" i="39"/>
  <c r="F20" i="39"/>
  <c r="F547" i="41"/>
  <c r="E12" i="41"/>
  <c r="H12" i="41"/>
  <c r="I12" i="41"/>
  <c r="K12" i="41"/>
  <c r="J12" i="41"/>
  <c r="C15" i="41"/>
  <c r="G15" i="41" s="1"/>
  <c r="F79" i="41"/>
  <c r="C672" i="41"/>
  <c r="L672" i="41" s="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B426" i="41" s="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L517" i="41" s="1"/>
  <c r="F590" i="41"/>
  <c r="C423" i="41"/>
  <c r="D423" i="41" s="1"/>
  <c r="C78" i="41"/>
  <c r="B78" i="41" s="1"/>
  <c r="C458" i="41"/>
  <c r="L458" i="41" s="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140" i="11"/>
  <c r="J141" i="11" s="1"/>
  <c r="I140" i="11"/>
  <c r="I141" i="11" s="1"/>
  <c r="H140" i="11"/>
  <c r="H141" i="11" s="1"/>
  <c r="B397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C23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27" i="29"/>
  <c r="C35" i="29"/>
  <c r="K136" i="11"/>
  <c r="K139" i="11" s="1"/>
  <c r="D256" i="4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D34" i="39"/>
  <c r="D32" i="39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C26" i="29"/>
  <c r="F117" i="29"/>
  <c r="F25" i="29"/>
  <c r="F156" i="29"/>
  <c r="F76" i="29"/>
  <c r="C62" i="29"/>
  <c r="F144" i="29"/>
  <c r="C41" i="29"/>
  <c r="C22" i="29"/>
  <c r="C154" i="29"/>
  <c r="C53" i="29"/>
  <c r="C148" i="29"/>
  <c r="C121" i="29"/>
  <c r="F24" i="29"/>
  <c r="F107" i="29"/>
  <c r="C156" i="29"/>
  <c r="C143" i="29"/>
  <c r="C67" i="29"/>
  <c r="C96" i="29"/>
  <c r="C21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8" i="29"/>
  <c r="C29" i="29"/>
  <c r="C79" i="29"/>
  <c r="F52" i="29"/>
  <c r="F72" i="29"/>
  <c r="F39" i="29"/>
  <c r="F148" i="29"/>
  <c r="C24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B486" i="41"/>
  <c r="G486" i="41"/>
  <c r="L461" i="41"/>
  <c r="B461" i="41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D35" i="39"/>
  <c r="B35" i="39"/>
  <c r="E35" i="39" s="1"/>
  <c r="G35" i="39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2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C20" i="29"/>
  <c r="F78" i="29"/>
  <c r="F140" i="29"/>
  <c r="F83" i="29"/>
  <c r="C40" i="29"/>
  <c r="C149" i="29"/>
  <c r="D389" i="41" l="1"/>
  <c r="D33" i="39"/>
  <c r="J33" i="39" s="1"/>
  <c r="G20" i="39"/>
  <c r="G33" i="39"/>
  <c r="G32" i="39"/>
  <c r="G23" i="39"/>
  <c r="B29" i="39"/>
  <c r="E29" i="39" s="1"/>
  <c r="D20" i="39"/>
  <c r="H20" i="39" s="1"/>
  <c r="D29" i="39"/>
  <c r="I29" i="39" s="1"/>
  <c r="B23" i="39"/>
  <c r="E23" i="39" s="1"/>
  <c r="D12" i="41"/>
  <c r="G25" i="39"/>
  <c r="B18" i="39"/>
  <c r="E18" i="39" s="1"/>
  <c r="D18" i="39"/>
  <c r="I18" i="39" s="1"/>
  <c r="G12" i="41"/>
  <c r="L12" i="41"/>
  <c r="G16" i="29"/>
  <c r="H16" i="29" s="1"/>
  <c r="J16" i="29"/>
  <c r="B458" i="41"/>
  <c r="K458" i="41" s="1"/>
  <c r="G517" i="41"/>
  <c r="B16" i="29"/>
  <c r="E16" i="29" s="1"/>
  <c r="D426" i="41"/>
  <c r="G24" i="39"/>
  <c r="L14" i="41"/>
  <c r="G22" i="39"/>
  <c r="B672" i="41"/>
  <c r="I672" i="41" s="1"/>
  <c r="B30" i="39"/>
  <c r="E30" i="39" s="1"/>
  <c r="G672" i="41"/>
  <c r="L426" i="41"/>
  <c r="G26" i="39"/>
  <c r="D24" i="39"/>
  <c r="H24" i="39" s="1"/>
  <c r="D14" i="41"/>
  <c r="D30" i="39"/>
  <c r="H30" i="39" s="1"/>
  <c r="B22" i="39"/>
  <c r="E22" i="39" s="1"/>
  <c r="D672" i="41"/>
  <c r="G426" i="41"/>
  <c r="D26" i="39"/>
  <c r="H26" i="39" s="1"/>
  <c r="G14" i="41"/>
  <c r="B593" i="41"/>
  <c r="E593" i="41" s="1"/>
  <c r="D458" i="41"/>
  <c r="B34" i="39"/>
  <c r="E34" i="39" s="1"/>
  <c r="D27" i="39"/>
  <c r="I27" i="39" s="1"/>
  <c r="B25" i="39"/>
  <c r="E25" i="39" s="1"/>
  <c r="D16" i="39"/>
  <c r="H16" i="39" s="1"/>
  <c r="L15" i="41"/>
  <c r="D305" i="41"/>
  <c r="B517" i="41"/>
  <c r="H517" i="41" s="1"/>
  <c r="G21" i="39"/>
  <c r="B15" i="41"/>
  <c r="H15" i="41" s="1"/>
  <c r="G458" i="41"/>
  <c r="D596" i="41"/>
  <c r="D517" i="41"/>
  <c r="G27" i="39"/>
  <c r="D21" i="39"/>
  <c r="H21" i="39" s="1"/>
  <c r="G16" i="39"/>
  <c r="D15" i="41"/>
  <c r="G669" i="41"/>
  <c r="L596" i="41"/>
  <c r="G392" i="41"/>
  <c r="D193" i="41"/>
  <c r="L544" i="41"/>
  <c r="B389" i="41"/>
  <c r="H389" i="41" s="1"/>
  <c r="D544" i="41"/>
  <c r="B510" i="41"/>
  <c r="I510" i="41" s="1"/>
  <c r="B13" i="41"/>
  <c r="E13" i="41" s="1"/>
  <c r="L13" i="41"/>
  <c r="L423" i="41"/>
  <c r="D17" i="39"/>
  <c r="I17" i="39" s="1"/>
  <c r="B423" i="41"/>
  <c r="H423" i="41" s="1"/>
  <c r="B17" i="39"/>
  <c r="E17" i="39" s="1"/>
  <c r="D191" i="41"/>
  <c r="D13" i="41"/>
  <c r="G423" i="41"/>
  <c r="L150" i="41"/>
  <c r="B19" i="39"/>
  <c r="E19" i="39" s="1"/>
  <c r="G28" i="39"/>
  <c r="G31" i="39"/>
  <c r="B609" i="41"/>
  <c r="E609" i="41" s="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E282" i="41" s="1"/>
  <c r="D316" i="41"/>
  <c r="B451" i="41"/>
  <c r="K451" i="41" s="1"/>
  <c r="L427" i="41"/>
  <c r="L355" i="41"/>
  <c r="L191" i="41"/>
  <c r="L311" i="41"/>
  <c r="B345" i="41"/>
  <c r="I345" i="41" s="1"/>
  <c r="B191" i="41"/>
  <c r="E191" i="41" s="1"/>
  <c r="G282" i="41"/>
  <c r="B141" i="41"/>
  <c r="E141" i="41" s="1"/>
  <c r="D222" i="41"/>
  <c r="L107" i="41"/>
  <c r="L84" i="41"/>
  <c r="B150" i="41"/>
  <c r="I150" i="41" s="1"/>
  <c r="D19" i="39"/>
  <c r="H19" i="39" s="1"/>
  <c r="B28" i="39"/>
  <c r="E28" i="39" s="1"/>
  <c r="D31" i="39"/>
  <c r="H31" i="39" s="1"/>
  <c r="G609" i="41"/>
  <c r="D492" i="41"/>
  <c r="B311" i="41"/>
  <c r="K311" i="41" s="1"/>
  <c r="B625" i="41"/>
  <c r="I625" i="41" s="1"/>
  <c r="L248" i="41"/>
  <c r="L641" i="41"/>
  <c r="L60" i="41"/>
  <c r="G596" i="41"/>
  <c r="B527" i="41"/>
  <c r="K527" i="41" s="1"/>
  <c r="L79" i="41"/>
  <c r="D41" i="41"/>
  <c r="D383" i="41"/>
  <c r="D155" i="41"/>
  <c r="L342" i="41"/>
  <c r="G353" i="41"/>
  <c r="D527" i="41"/>
  <c r="D60" i="41"/>
  <c r="L510" i="41"/>
  <c r="B294" i="41"/>
  <c r="H294" i="41" s="1"/>
  <c r="G575" i="41"/>
  <c r="G204" i="41"/>
  <c r="D139" i="41"/>
  <c r="L78" i="41"/>
  <c r="D642" i="41"/>
  <c r="B148" i="41"/>
  <c r="H148" i="41" s="1"/>
  <c r="B177" i="41"/>
  <c r="J177" i="41" s="1"/>
  <c r="B261" i="41"/>
  <c r="K261" i="41" s="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I350" i="41" s="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J288" i="41" s="1"/>
  <c r="G118" i="41"/>
  <c r="D20" i="41"/>
  <c r="D395" i="41"/>
  <c r="D667" i="41"/>
  <c r="B293" i="41"/>
  <c r="I293" i="41" s="1"/>
  <c r="B455" i="41"/>
  <c r="I455" i="41" s="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H666" i="41" s="1"/>
  <c r="D355" i="41"/>
  <c r="G141" i="41"/>
  <c r="B316" i="41"/>
  <c r="I316" i="41" s="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I570" i="41" s="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K267" i="41" s="1"/>
  <c r="L453" i="41"/>
  <c r="G430" i="41"/>
  <c r="D698" i="41"/>
  <c r="B574" i="41"/>
  <c r="J574" i="41" s="1"/>
  <c r="D170" i="41"/>
  <c r="D399" i="41"/>
  <c r="D424" i="41"/>
  <c r="L621" i="41"/>
  <c r="G556" i="41"/>
  <c r="D306" i="41"/>
  <c r="G425" i="41"/>
  <c r="D707" i="41"/>
  <c r="B395" i="41"/>
  <c r="I395" i="41" s="1"/>
  <c r="B94" i="41"/>
  <c r="J94" i="41" s="1"/>
  <c r="G209" i="41"/>
  <c r="D89" i="41"/>
  <c r="D147" i="41"/>
  <c r="B428" i="41"/>
  <c r="K428" i="41" s="1"/>
  <c r="B564" i="41"/>
  <c r="I564" i="41" s="1"/>
  <c r="L151" i="41"/>
  <c r="B507" i="41"/>
  <c r="E507" i="41" s="1"/>
  <c r="B226" i="41"/>
  <c r="K226" i="41" s="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H656" i="41" s="1"/>
  <c r="L471" i="41"/>
  <c r="L565" i="41"/>
  <c r="B616" i="41"/>
  <c r="J616" i="41" s="1"/>
  <c r="L475" i="41"/>
  <c r="B92" i="41"/>
  <c r="I92" i="41" s="1"/>
  <c r="G653" i="41"/>
  <c r="G468" i="41"/>
  <c r="G390" i="41"/>
  <c r="B511" i="41"/>
  <c r="K511" i="41" s="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I653" i="41" s="1"/>
  <c r="D209" i="41"/>
  <c r="B37" i="41"/>
  <c r="I37" i="41" s="1"/>
  <c r="L468" i="41"/>
  <c r="L261" i="41"/>
  <c r="B390" i="41"/>
  <c r="K390" i="41" s="1"/>
  <c r="B691" i="41"/>
  <c r="I691" i="41" s="1"/>
  <c r="D172" i="41"/>
  <c r="L147" i="41"/>
  <c r="L511" i="41"/>
  <c r="D428" i="41"/>
  <c r="L324" i="41"/>
  <c r="B140" i="41"/>
  <c r="E140" i="41" s="1"/>
  <c r="B164" i="41"/>
  <c r="I164" i="41" s="1"/>
  <c r="L27" i="41"/>
  <c r="D564" i="41"/>
  <c r="L256" i="41"/>
  <c r="G151" i="41"/>
  <c r="B639" i="41"/>
  <c r="I639" i="41" s="1"/>
  <c r="D239" i="41"/>
  <c r="B275" i="41"/>
  <c r="J275" i="41" s="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J468" i="41" s="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H45" i="41" s="1"/>
  <c r="B332" i="41"/>
  <c r="E332" i="41" s="1"/>
  <c r="D322" i="41"/>
  <c r="B339" i="41"/>
  <c r="E339" i="41" s="1"/>
  <c r="L657" i="41"/>
  <c r="L459" i="41"/>
  <c r="B228" i="41"/>
  <c r="E228" i="41" s="1"/>
  <c r="G21" i="41"/>
  <c r="G616" i="41"/>
  <c r="B111" i="41"/>
  <c r="H111" i="41" s="1"/>
  <c r="B595" i="41"/>
  <c r="E595" i="41" s="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E255" i="41" s="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I681" i="41" s="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K489" i="41" s="1"/>
  <c r="D406" i="41"/>
  <c r="D453" i="41"/>
  <c r="B418" i="41"/>
  <c r="J418" i="41" s="1"/>
  <c r="B305" i="41"/>
  <c r="K305" i="41" s="1"/>
  <c r="L669" i="41"/>
  <c r="B392" i="41"/>
  <c r="J392" i="41" s="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H281" i="41" s="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H322" i="41" s="1"/>
  <c r="G281" i="41"/>
  <c r="D339" i="41"/>
  <c r="G308" i="41"/>
  <c r="B657" i="41"/>
  <c r="H657" i="41" s="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J424" i="41" s="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H247" i="41" s="1"/>
  <c r="B238" i="41"/>
  <c r="J238" i="41" s="1"/>
  <c r="B41" i="41"/>
  <c r="I41" i="41" s="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K323" i="41" s="1"/>
  <c r="B529" i="41"/>
  <c r="H529" i="41" s="1"/>
  <c r="L145" i="41"/>
  <c r="L593" i="41"/>
  <c r="D78" i="41"/>
  <c r="B387" i="41"/>
  <c r="K387" i="41" s="1"/>
  <c r="B193" i="41"/>
  <c r="K193" i="41" s="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H299" i="41" s="1"/>
  <c r="D294" i="41"/>
  <c r="G247" i="41"/>
  <c r="D238" i="41"/>
  <c r="G41" i="41"/>
  <c r="L466" i="41"/>
  <c r="B575" i="41"/>
  <c r="K575" i="41" s="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J383" i="41" s="1"/>
  <c r="G516" i="41"/>
  <c r="G323" i="41"/>
  <c r="B259" i="41"/>
  <c r="E259" i="41" s="1"/>
  <c r="L529" i="41"/>
  <c r="D35" i="41"/>
  <c r="D593" i="41"/>
  <c r="G78" i="41"/>
  <c r="B98" i="41"/>
  <c r="K98" i="41" s="1"/>
  <c r="G387" i="41"/>
  <c r="D477" i="41"/>
  <c r="L375" i="41"/>
  <c r="B56" i="41"/>
  <c r="H56" i="41" s="1"/>
  <c r="G193" i="41"/>
  <c r="L386" i="41"/>
  <c r="B353" i="41"/>
  <c r="H353" i="41" s="1"/>
  <c r="B642" i="41"/>
  <c r="K642" i="41" s="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H18" i="39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J105" i="41"/>
  <c r="K105" i="41"/>
  <c r="E105" i="41"/>
  <c r="H105" i="41"/>
  <c r="I105" i="41"/>
  <c r="H596" i="41"/>
  <c r="J596" i="41"/>
  <c r="K596" i="41"/>
  <c r="I596" i="41"/>
  <c r="E596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J34" i="39"/>
  <c r="I34" i="39"/>
  <c r="H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K349" i="41"/>
  <c r="H349" i="41"/>
  <c r="E349" i="41"/>
  <c r="I349" i="41"/>
  <c r="J349" i="41"/>
  <c r="K139" i="41"/>
  <c r="I139" i="41"/>
  <c r="H139" i="41"/>
  <c r="J139" i="41"/>
  <c r="E139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H486" i="41"/>
  <c r="I486" i="41"/>
  <c r="E486" i="41"/>
  <c r="K486" i="41"/>
  <c r="J486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K536" i="41"/>
  <c r="I377" i="41"/>
  <c r="E377" i="41"/>
  <c r="H377" i="41"/>
  <c r="K377" i="41"/>
  <c r="J377" i="41"/>
  <c r="E172" i="41"/>
  <c r="I172" i="41"/>
  <c r="K172" i="41"/>
  <c r="J172" i="41"/>
  <c r="H172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E226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H22" i="39"/>
  <c r="I22" i="39"/>
  <c r="J22" i="39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K461" i="41"/>
  <c r="H461" i="41"/>
  <c r="J461" i="41"/>
  <c r="I461" i="41"/>
  <c r="E461" i="41"/>
  <c r="J235" i="41"/>
  <c r="I235" i="41"/>
  <c r="E235" i="41"/>
  <c r="K235" i="41"/>
  <c r="H235" i="41"/>
  <c r="H94" i="41"/>
  <c r="K140" i="11"/>
  <c r="K141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J32" i="39"/>
  <c r="H32" i="39"/>
  <c r="I32" i="39"/>
  <c r="J29" i="39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J41" i="41"/>
  <c r="H681" i="41"/>
  <c r="E84" i="41"/>
  <c r="K84" i="41"/>
  <c r="H84" i="41"/>
  <c r="I84" i="41"/>
  <c r="J84" i="41"/>
  <c r="H170" i="41"/>
  <c r="I170" i="41"/>
  <c r="K170" i="41"/>
  <c r="J170" i="41"/>
  <c r="E170" i="41"/>
  <c r="I427" i="41"/>
  <c r="K427" i="41"/>
  <c r="E427" i="41"/>
  <c r="H427" i="41"/>
  <c r="J427" i="41"/>
  <c r="H428" i="41"/>
  <c r="E428" i="41"/>
  <c r="J428" i="41"/>
  <c r="H140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J23" i="39"/>
  <c r="H23" i="39"/>
  <c r="I23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1" i="39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I489" i="41"/>
  <c r="K383" i="41"/>
  <c r="I275" i="41"/>
  <c r="H275" i="41"/>
  <c r="E275" i="41"/>
  <c r="H323" i="41"/>
  <c r="H98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H316" i="41"/>
  <c r="I222" i="41"/>
  <c r="K222" i="41"/>
  <c r="H222" i="41"/>
  <c r="J222" i="41"/>
  <c r="E222" i="41"/>
  <c r="J426" i="41"/>
  <c r="I426" i="41"/>
  <c r="E426" i="41"/>
  <c r="H426" i="41"/>
  <c r="K426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K653" i="41"/>
  <c r="J653" i="41"/>
  <c r="I468" i="41"/>
  <c r="K468" i="41"/>
  <c r="E575" i="41"/>
  <c r="I650" i="41"/>
  <c r="J650" i="41"/>
  <c r="E650" i="41"/>
  <c r="K650" i="41"/>
  <c r="H650" i="41"/>
  <c r="K641" i="41"/>
  <c r="E641" i="41"/>
  <c r="H641" i="41"/>
  <c r="I641" i="41"/>
  <c r="J641" i="41"/>
  <c r="K288" i="41"/>
  <c r="E288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I31" i="39"/>
  <c r="J31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E570" i="41"/>
  <c r="I228" i="41"/>
  <c r="J228" i="41"/>
  <c r="K21" i="41"/>
  <c r="E21" i="41"/>
  <c r="I21" i="41"/>
  <c r="H21" i="41"/>
  <c r="J21" i="41"/>
  <c r="J78" i="41"/>
  <c r="I78" i="41"/>
  <c r="H78" i="41"/>
  <c r="K78" i="41"/>
  <c r="E78" i="41"/>
  <c r="I56" i="41"/>
  <c r="E56" i="41"/>
  <c r="I595" i="41"/>
  <c r="H595" i="41"/>
  <c r="H609" i="41"/>
  <c r="K609" i="41"/>
  <c r="I609" i="41"/>
  <c r="J609" i="41"/>
  <c r="I20" i="39" l="1"/>
  <c r="J16" i="39"/>
  <c r="J20" i="39"/>
  <c r="E424" i="41"/>
  <c r="H672" i="41"/>
  <c r="J666" i="41"/>
  <c r="J308" i="41"/>
  <c r="E15" i="41"/>
  <c r="I30" i="39"/>
  <c r="J26" i="39"/>
  <c r="K475" i="41"/>
  <c r="H29" i="39"/>
  <c r="K29" i="39" s="1"/>
  <c r="J312" i="41"/>
  <c r="H507" i="41"/>
  <c r="E430" i="41"/>
  <c r="J261" i="41"/>
  <c r="J140" i="41"/>
  <c r="J226" i="41"/>
  <c r="K389" i="41"/>
  <c r="H575" i="41"/>
  <c r="K681" i="41"/>
  <c r="I94" i="41"/>
  <c r="H669" i="41"/>
  <c r="H536" i="41"/>
  <c r="J595" i="41"/>
  <c r="K595" i="41"/>
  <c r="K56" i="41"/>
  <c r="H228" i="41"/>
  <c r="I288" i="41"/>
  <c r="H288" i="41"/>
  <c r="I575" i="41"/>
  <c r="H468" i="41"/>
  <c r="E468" i="41"/>
  <c r="H653" i="41"/>
  <c r="E98" i="41"/>
  <c r="I323" i="41"/>
  <c r="K275" i="41"/>
  <c r="E383" i="41"/>
  <c r="H489" i="41"/>
  <c r="J21" i="39"/>
  <c r="H27" i="39"/>
  <c r="I140" i="41"/>
  <c r="I428" i="41"/>
  <c r="H41" i="41"/>
  <c r="K94" i="41"/>
  <c r="E94" i="41"/>
  <c r="I669" i="41"/>
  <c r="I226" i="41"/>
  <c r="H226" i="41"/>
  <c r="J575" i="41"/>
  <c r="J98" i="41"/>
  <c r="J323" i="41"/>
  <c r="H383" i="41"/>
  <c r="J489" i="41"/>
  <c r="J56" i="41"/>
  <c r="K228" i="41"/>
  <c r="E653" i="41"/>
  <c r="I98" i="41"/>
  <c r="E323" i="41"/>
  <c r="I383" i="41"/>
  <c r="E489" i="41"/>
  <c r="K140" i="41"/>
  <c r="K41" i="41"/>
  <c r="I666" i="41"/>
  <c r="E458" i="41"/>
  <c r="J625" i="41"/>
  <c r="I458" i="41"/>
  <c r="J681" i="41"/>
  <c r="E41" i="41"/>
  <c r="E681" i="41"/>
  <c r="I642" i="41"/>
  <c r="K409" i="41"/>
  <c r="H625" i="41"/>
  <c r="E625" i="41"/>
  <c r="E389" i="41"/>
  <c r="E669" i="41"/>
  <c r="E666" i="41"/>
  <c r="E531" i="41"/>
  <c r="J409" i="41"/>
  <c r="K625" i="41"/>
  <c r="I389" i="41"/>
  <c r="J18" i="39"/>
  <c r="K18" i="39" s="1"/>
  <c r="J669" i="41"/>
  <c r="K666" i="41"/>
  <c r="J536" i="41"/>
  <c r="H531" i="41"/>
  <c r="E409" i="41"/>
  <c r="J389" i="41"/>
  <c r="H458" i="41"/>
  <c r="J24" i="39"/>
  <c r="J517" i="41"/>
  <c r="J458" i="41"/>
  <c r="H332" i="41"/>
  <c r="J92" i="41"/>
  <c r="J570" i="41"/>
  <c r="J511" i="41"/>
  <c r="H13" i="41"/>
  <c r="K316" i="41"/>
  <c r="J111" i="41"/>
  <c r="H642" i="41"/>
  <c r="K16" i="29"/>
  <c r="E642" i="41"/>
  <c r="J642" i="41"/>
  <c r="E656" i="41"/>
  <c r="K392" i="41"/>
  <c r="K574" i="41"/>
  <c r="I657" i="41"/>
  <c r="J267" i="41"/>
  <c r="J691" i="41"/>
  <c r="J322" i="41"/>
  <c r="J345" i="41"/>
  <c r="E392" i="41"/>
  <c r="K656" i="41"/>
  <c r="J255" i="41"/>
  <c r="H639" i="41"/>
  <c r="E350" i="41"/>
  <c r="I424" i="41"/>
  <c r="E657" i="41"/>
  <c r="K322" i="41"/>
  <c r="J455" i="41"/>
  <c r="J37" i="41"/>
  <c r="K395" i="41"/>
  <c r="E423" i="41"/>
  <c r="J395" i="41"/>
  <c r="K294" i="41"/>
  <c r="H282" i="41"/>
  <c r="H585" i="41"/>
  <c r="H570" i="41"/>
  <c r="J15" i="41"/>
  <c r="K15" i="41"/>
  <c r="J30" i="39"/>
  <c r="H511" i="41"/>
  <c r="J204" i="41"/>
  <c r="K13" i="41"/>
  <c r="J13" i="41"/>
  <c r="J316" i="41"/>
  <c r="J475" i="41"/>
  <c r="K707" i="41"/>
  <c r="H375" i="41"/>
  <c r="I459" i="41"/>
  <c r="J507" i="41"/>
  <c r="I507" i="41"/>
  <c r="I238" i="41"/>
  <c r="I26" i="39"/>
  <c r="I423" i="41"/>
  <c r="J423" i="41"/>
  <c r="K92" i="41"/>
  <c r="K672" i="41"/>
  <c r="H395" i="41"/>
  <c r="E261" i="41"/>
  <c r="J294" i="41"/>
  <c r="K282" i="41"/>
  <c r="I585" i="41"/>
  <c r="K570" i="41"/>
  <c r="I15" i="41"/>
  <c r="E511" i="41"/>
  <c r="E204" i="41"/>
  <c r="I13" i="41"/>
  <c r="E316" i="41"/>
  <c r="H475" i="41"/>
  <c r="H312" i="41"/>
  <c r="H459" i="41"/>
  <c r="K507" i="41"/>
  <c r="H342" i="41"/>
  <c r="J311" i="41"/>
  <c r="I353" i="41"/>
  <c r="K423" i="41"/>
  <c r="E92" i="41"/>
  <c r="H92" i="41"/>
  <c r="E672" i="41"/>
  <c r="E395" i="41"/>
  <c r="I261" i="41"/>
  <c r="H261" i="41"/>
  <c r="E294" i="41"/>
  <c r="J282" i="41"/>
  <c r="I332" i="41"/>
  <c r="J585" i="41"/>
  <c r="I511" i="41"/>
  <c r="I204" i="41"/>
  <c r="I136" i="41"/>
  <c r="E111" i="41"/>
  <c r="I312" i="41"/>
  <c r="H259" i="41"/>
  <c r="E311" i="41"/>
  <c r="K353" i="41"/>
  <c r="J672" i="41"/>
  <c r="I294" i="41"/>
  <c r="I282" i="41"/>
  <c r="K616" i="41"/>
  <c r="J402" i="41"/>
  <c r="I392" i="41"/>
  <c r="J656" i="41"/>
  <c r="J657" i="41"/>
  <c r="H255" i="41"/>
  <c r="E322" i="41"/>
  <c r="I19" i="39"/>
  <c r="E267" i="41"/>
  <c r="E455" i="41"/>
  <c r="H345" i="41"/>
  <c r="K299" i="41"/>
  <c r="H574" i="41"/>
  <c r="E193" i="41"/>
  <c r="J281" i="41"/>
  <c r="I45" i="41"/>
  <c r="H37" i="41"/>
  <c r="J350" i="41"/>
  <c r="H424" i="41"/>
  <c r="H392" i="41"/>
  <c r="I656" i="41"/>
  <c r="K657" i="41"/>
  <c r="I255" i="41"/>
  <c r="I322" i="41"/>
  <c r="I16" i="39"/>
  <c r="K16" i="39" s="1"/>
  <c r="J19" i="39"/>
  <c r="H267" i="41"/>
  <c r="H455" i="41"/>
  <c r="E345" i="41"/>
  <c r="E299" i="41"/>
  <c r="I574" i="41"/>
  <c r="H193" i="41"/>
  <c r="E281" i="41"/>
  <c r="K45" i="41"/>
  <c r="K247" i="41"/>
  <c r="I544" i="41"/>
  <c r="H350" i="41"/>
  <c r="J480" i="41"/>
  <c r="I267" i="41"/>
  <c r="K455" i="41"/>
  <c r="K345" i="41"/>
  <c r="I299" i="41"/>
  <c r="E574" i="41"/>
  <c r="J45" i="41"/>
  <c r="H691" i="41"/>
  <c r="K350" i="41"/>
  <c r="H600" i="41"/>
  <c r="H480" i="41"/>
  <c r="I593" i="41"/>
  <c r="E150" i="41"/>
  <c r="I24" i="39"/>
  <c r="E26" i="41"/>
  <c r="I517" i="41"/>
  <c r="E588" i="41"/>
  <c r="J18" i="41"/>
  <c r="I402" i="41"/>
  <c r="E260" i="41"/>
  <c r="K462" i="41"/>
  <c r="K339" i="41"/>
  <c r="E527" i="41"/>
  <c r="E472" i="41"/>
  <c r="K424" i="41"/>
  <c r="K255" i="41"/>
  <c r="J299" i="41"/>
  <c r="K281" i="41"/>
  <c r="E639" i="41"/>
  <c r="K691" i="41"/>
  <c r="J247" i="41"/>
  <c r="E558" i="41"/>
  <c r="I600" i="41"/>
  <c r="H65" i="41"/>
  <c r="K480" i="41"/>
  <c r="I177" i="41"/>
  <c r="E544" i="41"/>
  <c r="J558" i="41"/>
  <c r="K600" i="41"/>
  <c r="E65" i="41"/>
  <c r="E177" i="41"/>
  <c r="K510" i="41"/>
  <c r="J17" i="39"/>
  <c r="I403" i="41"/>
  <c r="E387" i="41"/>
  <c r="K150" i="41"/>
  <c r="E621" i="41"/>
  <c r="J593" i="41"/>
  <c r="E616" i="41"/>
  <c r="E462" i="41"/>
  <c r="J339" i="41"/>
  <c r="I616" i="41"/>
  <c r="H387" i="41"/>
  <c r="J182" i="41"/>
  <c r="H339" i="41"/>
  <c r="I588" i="41"/>
  <c r="H564" i="41"/>
  <c r="I527" i="41"/>
  <c r="E517" i="41"/>
  <c r="H593" i="41"/>
  <c r="K593" i="41"/>
  <c r="H150" i="41"/>
  <c r="J150" i="41"/>
  <c r="H527" i="41"/>
  <c r="H621" i="41"/>
  <c r="K517" i="41"/>
  <c r="H402" i="41"/>
  <c r="K260" i="41"/>
  <c r="J588" i="41"/>
  <c r="E564" i="41"/>
  <c r="J527" i="41"/>
  <c r="I607" i="41"/>
  <c r="I147" i="41"/>
  <c r="J510" i="41"/>
  <c r="H510" i="41"/>
  <c r="I182" i="41"/>
  <c r="I462" i="41"/>
  <c r="K26" i="41"/>
  <c r="I472" i="41"/>
  <c r="J607" i="41"/>
  <c r="H18" i="41"/>
  <c r="E466" i="41"/>
  <c r="E550" i="41"/>
  <c r="E451" i="41"/>
  <c r="E529" i="41"/>
  <c r="I18" i="41"/>
  <c r="J324" i="41"/>
  <c r="I35" i="41"/>
  <c r="H550" i="41"/>
  <c r="E627" i="41"/>
  <c r="K293" i="41"/>
  <c r="I27" i="41"/>
  <c r="K141" i="41"/>
  <c r="J621" i="41"/>
  <c r="K472" i="41"/>
  <c r="K529" i="41"/>
  <c r="H324" i="41"/>
  <c r="J147" i="41"/>
  <c r="I141" i="41"/>
  <c r="H451" i="41"/>
  <c r="J193" i="41"/>
  <c r="I281" i="41"/>
  <c r="J639" i="41"/>
  <c r="E45" i="41"/>
  <c r="E691" i="41"/>
  <c r="K37" i="41"/>
  <c r="E37" i="41"/>
  <c r="E247" i="41"/>
  <c r="K544" i="41"/>
  <c r="K558" i="41"/>
  <c r="I193" i="41"/>
  <c r="K639" i="41"/>
  <c r="I247" i="41"/>
  <c r="H544" i="41"/>
  <c r="I558" i="41"/>
  <c r="E600" i="41"/>
  <c r="J65" i="41"/>
  <c r="K65" i="41"/>
  <c r="I480" i="41"/>
  <c r="I536" i="41"/>
  <c r="H177" i="41"/>
  <c r="H17" i="39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35" i="39"/>
  <c r="K34" i="39"/>
  <c r="D10" i="59"/>
  <c r="B142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K23" i="39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K22" i="39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K31" i="39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K32" i="39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K30" i="39" l="1"/>
  <c r="K26" i="39"/>
  <c r="H38" i="39"/>
  <c r="I38" i="39"/>
  <c r="K24" i="39"/>
  <c r="K19" i="39"/>
  <c r="J38" i="39"/>
  <c r="J39" i="39" s="1"/>
  <c r="J40" i="39" s="1"/>
  <c r="K17" i="39"/>
  <c r="E11" i="54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I39" i="39"/>
  <c r="I40" i="39" s="1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K138" i="29"/>
  <c r="K41" i="29"/>
  <c r="K147" i="29"/>
  <c r="K157" i="29"/>
  <c r="K135" i="29"/>
  <c r="K33" i="29"/>
  <c r="K65" i="29"/>
  <c r="K121" i="29"/>
  <c r="H39" i="39"/>
  <c r="H40" i="39" s="1"/>
  <c r="D11" i="59"/>
  <c r="F7" i="54"/>
  <c r="K38" i="39" l="1"/>
  <c r="K39" i="39" s="1"/>
  <c r="K40" i="39" s="1"/>
  <c r="E12" i="54"/>
  <c r="L12" i="54"/>
  <c r="M12" i="54" s="1"/>
  <c r="I13" i="54"/>
  <c r="H13" i="54"/>
  <c r="C14" i="54"/>
  <c r="D13" i="54"/>
  <c r="H169" i="29"/>
  <c r="H170" i="2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N12" i="54" s="1"/>
  <c r="P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3" i="54" l="1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S7" i="54"/>
  <c r="Q8" i="54"/>
  <c r="J16" i="54" l="1"/>
  <c r="N15" i="54"/>
  <c r="P15" i="54" s="1"/>
  <c r="H17" i="54"/>
  <c r="D17" i="54"/>
  <c r="E17" i="54" s="1"/>
  <c r="I17" i="54"/>
  <c r="C18" i="54"/>
  <c r="L16" i="54"/>
  <c r="M16" i="54" s="1"/>
  <c r="Q9" i="54"/>
  <c r="S8" i="54"/>
  <c r="N16" i="54" l="1"/>
  <c r="P16" i="54" s="1"/>
  <c r="J17" i="54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C23" i="54"/>
  <c r="D22" i="54"/>
  <c r="E22" i="54" s="1"/>
  <c r="L22" i="54" s="1"/>
  <c r="M22" i="54" s="1"/>
  <c r="J21" i="54"/>
  <c r="Q14" i="54"/>
  <c r="S13" i="54"/>
  <c r="T13" i="54"/>
  <c r="J22" i="54" l="1"/>
  <c r="N22" i="54" s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 s="1"/>
  <c r="M23" i="54" s="1"/>
  <c r="S15" i="54"/>
  <c r="Q16" i="54"/>
  <c r="T15" i="54"/>
  <c r="N23" i="54" l="1"/>
  <c r="P23" i="54" s="1"/>
  <c r="J24" i="54"/>
  <c r="I25" i="54"/>
  <c r="H25" i="54"/>
  <c r="C26" i="54"/>
  <c r="D25" i="54"/>
  <c r="E25" i="54" s="1"/>
  <c r="E24" i="54"/>
  <c r="L24" i="54" s="1"/>
  <c r="M24" i="54" s="1"/>
  <c r="Q17" i="54"/>
  <c r="S16" i="54"/>
  <c r="T16" i="54"/>
  <c r="J25" i="54" l="1"/>
  <c r="N24" i="54"/>
  <c r="P24" i="54" s="1"/>
  <c r="L25" i="54"/>
  <c r="M25" i="54" s="1"/>
  <c r="H26" i="54"/>
  <c r="C27" i="54"/>
  <c r="I26" i="54"/>
  <c r="D26" i="54"/>
  <c r="Q18" i="54"/>
  <c r="S17" i="54"/>
  <c r="T17" i="54"/>
  <c r="N25" i="54" l="1"/>
  <c r="P25" i="54" s="1"/>
  <c r="H27" i="54"/>
  <c r="D27" i="54"/>
  <c r="C28" i="54"/>
  <c r="I27" i="54"/>
  <c r="J26" i="54"/>
  <c r="E26" i="54"/>
  <c r="L26" i="54" s="1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 s="1"/>
  <c r="M28" i="54" s="1"/>
  <c r="N28" i="54" s="1"/>
  <c r="P28" i="54" s="1"/>
  <c r="N27" i="54"/>
  <c r="P27" i="54" s="1"/>
  <c r="I29" i="54"/>
  <c r="C30" i="54"/>
  <c r="D29" i="54"/>
  <c r="E29" i="54" s="1"/>
  <c r="L29" i="54" s="1"/>
  <c r="M29" i="54" s="1"/>
  <c r="H29" i="54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<sst xmlns="http://schemas.openxmlformats.org/spreadsheetml/2006/main" count="4818" uniqueCount="1650">
  <si>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</si>
  <si>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</si>
  <si>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</si>
  <si>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</si>
  <si>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</si>
  <si>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</si>
  <si>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</si>
  <si>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</si>
  <si>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</si>
  <si>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</si>
  <si>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</si>
  <si>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</si>
  <si>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</si>
  <si>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</si>
  <si>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</si>
  <si>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</si>
  <si>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</si>
  <si>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</si>
  <si>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</si>
  <si>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</si>
  <si>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</si>
  <si>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</si>
  <si>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</si>
  <si>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</si>
  <si>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</si>
  <si>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</si>
  <si>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</si>
  <si>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</si>
  <si>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</si>
  <si>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</si>
  <si>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</si>
  <si>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</si>
  <si>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</si>
  <si>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</si>
  <si>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</si>
  <si>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</si>
  <si>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</si>
  <si>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</si>
  <si>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</si>
  <si>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</si>
  <si>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</si>
  <si>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</si>
  <si>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</si>
  <si>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</si>
  <si>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</si>
  <si>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</si>
  <si>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</si>
  <si>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</si>
  <si>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</si>
  <si>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</si>
  <si>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</si>
  <si>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</si>
  <si>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</si>
  <si>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</si>
  <si>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</si>
  <si>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</si>
  <si>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</si>
  <si>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</si>
  <si>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</si>
  <si>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</si>
  <si>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</si>
  <si>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</si>
  <si>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</si>
  <si>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</si>
  <si>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</si>
  <si>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</si>
  <si>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</si>
  <si>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</si>
  <si>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</si>
  <si>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</si>
  <si>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</si>
  <si>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</si>
  <si>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</si>
  <si>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</si>
  <si>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</si>
  <si>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</si>
  <si>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</si>
  <si>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</si>
  <si>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</si>
  <si>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</si>
  <si>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</si>
  <si>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</si>
  <si>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</si>
  <si>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</si>
  <si>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</si>
  <si>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</si>
  <si>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</si>
  <si>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</si>
  <si>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</si>
  <si>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</si>
  <si>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</si>
  <si>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</si>
  <si>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</si>
  <si>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</si>
  <si>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</si>
  <si>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</si>
  <si>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</si>
  <si>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</si>
  <si>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</si>
  <si>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</si>
  <si>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</si>
  <si>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</si>
  <si>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</si>
  <si>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</si>
  <si>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</si>
  <si>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</si>
  <si>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</si>
  <si>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</si>
  <si>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</si>
  <si>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</si>
  <si>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</si>
  <si>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</si>
  <si>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</si>
  <si>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</si>
  <si>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</si>
  <si>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</si>
  <si>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</si>
  <si>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</si>
  <si>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</si>
  <si>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</si>
  <si>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</si>
  <si>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</si>
  <si>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</si>
  <si>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</si>
  <si>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</si>
  <si>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</si>
  <si>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</si>
  <si>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</si>
  <si>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</si>
  <si>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</si>
  <si>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</si>
  <si>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</si>
  <si>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</si>
  <si>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</si>
  <si>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</si>
  <si>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</si>
  <si>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</si>
  <si>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</si>
  <si>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</si>
  <si>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</si>
  <si>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</si>
  <si>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</si>
  <si>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</si>
  <si>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</si>
  <si>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</si>
  <si>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</si>
  <si>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</si>
  <si>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</si>
  <si>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</si>
  <si>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</si>
  <si>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</si>
  <si>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</si>
  <si>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</si>
  <si>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</si>
  <si>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</si>
  <si>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</si>
  <si>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</si>
  <si>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</si>
  <si>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</si>
  <si>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</si>
  <si>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</si>
  <si>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</si>
  <si>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</si>
  <si>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</si>
  <si>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</si>
  <si>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</si>
  <si>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</si>
  <si>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</si>
  <si>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</si>
  <si>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</si>
  <si>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</si>
  <si>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</si>
  <si>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</si>
  <si>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</si>
  <si>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</si>
  <si>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</si>
  <si>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</si>
  <si>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</si>
  <si>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</si>
  <si>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</si>
  <si>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</si>
  <si>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</si>
  <si>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</si>
  <si>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</si>
  <si>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</si>
  <si>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</si>
  <si>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</si>
  <si>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</si>
  <si>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</si>
  <si>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</si>
  <si>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</si>
  <si>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</si>
  <si>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</si>
  <si>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</si>
  <si>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</si>
  <si>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</si>
  <si>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</si>
  <si>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</si>
  <si>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</si>
  <si>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</si>
  <si>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</si>
  <si>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</si>
  <si>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</si>
  <si>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</si>
  <si>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</si>
  <si>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</si>
  <si>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</si>
  <si>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</si>
  <si>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</si>
  <si>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</si>
  <si>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</si>
  <si>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</si>
  <si>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</si>
  <si>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</si>
  <si>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</si>
  <si>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</si>
  <si>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</si>
  <si>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</si>
  <si>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</si>
  <si>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</si>
  <si>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</si>
  <si>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</si>
  <si>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</si>
  <si>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</si>
  <si>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</si>
  <si>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</si>
  <si>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</si>
  <si>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</si>
  <si>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</si>
  <si>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</si>
  <si>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</si>
  <si>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</si>
  <si>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</si>
  <si>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</si>
  <si>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</si>
  <si>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</si>
  <si>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</si>
  <si>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</si>
  <si>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</si>
  <si>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</si>
  <si>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</si>
  <si>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</si>
  <si>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</si>
  <si>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</si>
  <si>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</si>
  <si>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</si>
  <si>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</si>
  <si>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</si>
  <si>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</si>
  <si>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</si>
  <si>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</si>
  <si>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</si>
  <si>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</si>
  <si>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</si>
  <si>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</si>
  <si>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</si>
  <si>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</si>
  <si>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</si>
  <si>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</si>
  <si>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</si>
  <si>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</si>
  <si>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</si>
  <si>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</si>
  <si>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</si>
  <si>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</si>
  <si>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</si>
  <si>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</si>
  <si>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</si>
  <si>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</si>
  <si>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</si>
  <si>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</si>
  <si>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</si>
  <si>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</si>
  <si>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</si>
  <si>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</si>
  <si>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</si>
  <si>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</si>
  <si>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</si>
  <si>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</si>
  <si>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</si>
  <si>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</si>
  <si>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</si>
  <si>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</si>
  <si>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</si>
  <si>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</si>
  <si>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</si>
  <si>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</si>
  <si>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</si>
  <si>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</si>
  <si>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</si>
  <si>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</si>
  <si>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</si>
  <si>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</si>
  <si>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</si>
  <si>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</si>
  <si>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</si>
  <si>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</si>
  <si>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</si>
  <si>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</si>
  <si>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</si>
  <si>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</si>
  <si>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</si>
  <si>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</si>
  <si>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</si>
  <si>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</si>
  <si>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</si>
  <si>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</si>
  <si>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</si>
  <si>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</si>
  <si>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</si>
  <si>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</si>
  <si>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</si>
  <si>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</si>
  <si>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</si>
  <si>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</si>
  <si>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</si>
  <si>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</si>
  <si>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</si>
  <si>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</si>
  <si>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</si>
  <si>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</si>
  <si>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</si>
  <si>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</si>
  <si>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</si>
  <si>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</si>
  <si>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</si>
  <si>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</si>
  <si>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</si>
  <si>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</si>
  <si>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</si>
  <si>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</si>
  <si>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</si>
  <si>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</si>
  <si>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</si>
  <si>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</si>
  <si>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</si>
  <si>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</si>
  <si>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</si>
  <si>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</si>
  <si>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</si>
  <si>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</si>
  <si>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</si>
  <si>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</si>
  <si>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</si>
  <si>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</si>
  <si>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</si>
  <si>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</si>
  <si>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</si>
  <si>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</si>
  <si>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</si>
  <si>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</si>
  <si>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</si>
  <si>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</si>
  <si>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</si>
  <si>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</si>
  <si>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</si>
  <si>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</si>
  <si>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</si>
  <si>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</si>
  <si>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</si>
  <si>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</si>
  <si>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</si>
  <si>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</si>
  <si>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</si>
  <si>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</si>
  <si>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</si>
  <si>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</si>
  <si>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</si>
  <si>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</si>
  <si>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</si>
  <si>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</si>
  <si>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</si>
  <si>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</si>
  <si>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</si>
  <si>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</si>
  <si>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</si>
  <si>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</si>
  <si>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</si>
  <si>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</si>
  <si>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</si>
  <si>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</si>
  <si>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</si>
  <si>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</si>
  <si>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</si>
  <si>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</si>
  <si>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</si>
  <si>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</si>
  <si>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</si>
  <si>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</si>
  <si>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</si>
  <si>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</si>
  <si>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</si>
  <si>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</si>
  <si>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</si>
  <si>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</si>
  <si>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</si>
  <si>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</si>
  <si>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</si>
  <si>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</si>
  <si>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</si>
  <si>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</si>
  <si>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</si>
  <si>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</si>
  <si>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</si>
  <si>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</si>
  <si>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</si>
  <si>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</si>
  <si>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</si>
  <si>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</si>
  <si>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</si>
  <si>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</si>
  <si>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</si>
  <si>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</si>
  <si>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</si>
  <si>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</si>
  <si>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</si>
  <si>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</si>
  <si>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</si>
  <si>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</si>
  <si>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</si>
  <si>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</si>
  <si>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</si>
  <si>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</si>
  <si>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</si>
  <si>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</si>
  <si>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</si>
  <si>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</si>
  <si>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</si>
  <si>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</si>
  <si>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</si>
  <si>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</si>
  <si>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</si>
  <si>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</si>
  <si>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</si>
  <si>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</si>
  <si>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</si>
  <si>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</si>
  <si>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</si>
  <si>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</si>
  <si>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</si>
  <si>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</si>
  <si>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</si>
  <si>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</si>
  <si>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</si>
  <si>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</si>
  <si>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</si>
  <si>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</si>
  <si>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</si>
  <si>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</si>
  <si>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</si>
  <si>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</si>
  <si>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</si>
  <si>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</si>
  <si>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</si>
  <si>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</si>
  <si>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</si>
  <si>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</si>
  <si>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</si>
  <si>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</si>
  <si>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</si>
  <si>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</si>
  <si>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</si>
  <si>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</si>
  <si>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</si>
  <si>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</si>
  <si>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</si>
  <si>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</si>
  <si>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</si>
  <si>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</si>
  <si>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</si>
  <si>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</si>
  <si>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</si>
  <si>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</si>
  <si>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</si>
  <si>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</si>
  <si>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</si>
  <si>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</si>
  <si>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</si>
  <si>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</si>
  <si>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</si>
  <si>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</si>
  <si>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</si>
  <si>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</si>
  <si>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</si>
  <si>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</si>
  <si>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</si>
  <si>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</si>
  <si>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</si>
  <si>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</si>
  <si>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</si>
  <si>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</si>
  <si>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</si>
  <si>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</si>
  <si>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</si>
  <si>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</si>
  <si>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</si>
  <si>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</si>
  <si>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</si>
  <si>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</si>
  <si>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</si>
  <si>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</si>
  <si>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</si>
  <si>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</si>
  <si>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</si>
  <si>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</si>
  <si>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</si>
  <si>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</si>
  <si>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</si>
  <si>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</si>
  <si>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</si>
  <si>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</si>
  <si>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</si>
  <si>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</si>
  <si>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</si>
  <si>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</si>
  <si>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</si>
  <si>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</si>
  <si>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</si>
  <si>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</si>
  <si>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</si>
  <si>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</si>
  <si>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</si>
  <si>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</si>
  <si>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</si>
  <si>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</si>
  <si>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</si>
  <si>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</si>
  <si>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</si>
  <si>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</si>
  <si>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</si>
  <si>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</si>
  <si>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</si>
  <si>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</si>
  <si>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</si>
  <si>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</si>
  <si>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</si>
  <si>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</si>
  <si>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</si>
  <si>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</si>
  <si>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</si>
  <si>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</si>
  <si>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</si>
  <si>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</si>
  <si>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</si>
  <si>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</si>
  <si>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</si>
  <si>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</si>
  <si>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</si>
  <si>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</si>
  <si>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</si>
  <si>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</si>
  <si>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</si>
  <si>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</si>
  <si>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</si>
  <si>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</si>
  <si>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</si>
  <si>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</si>
  <si>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</si>
  <si>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</si>
  <si>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</si>
  <si>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</si>
  <si>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</si>
  <si>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</si>
  <si>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</si>
  <si>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</si>
  <si>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</si>
  <si>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</si>
  <si>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</si>
  <si>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</si>
  <si>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</si>
  <si>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</si>
  <si>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</si>
  <si>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</si>
  <si>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</si>
  <si>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</si>
  <si>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</si>
  <si>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</si>
  <si>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</si>
  <si>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</si>
  <si>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</si>
  <si>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</si>
  <si>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</si>
  <si>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</si>
  <si>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</si>
  <si>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</si>
  <si>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</si>
  <si>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</si>
  <si>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</si>
  <si>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</si>
  <si>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</si>
  <si>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</si>
  <si>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</si>
  <si>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</si>
  <si>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</si>
  <si>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</si>
  <si>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</si>
  <si>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</si>
  <si>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</si>
  <si>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</si>
  <si>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</si>
  <si>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</si>
  <si>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</si>
  <si>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</si>
  <si>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</si>
  <si>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</si>
  <si>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</si>
  <si>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</si>
  <si>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</si>
  <si>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</si>
  <si>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</si>
  <si>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</si>
  <si>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</si>
  <si>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</si>
  <si>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</si>
  <si>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</si>
  <si>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</si>
  <si>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</si>
  <si>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</si>
  <si>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</si>
  <si>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</si>
  <si>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</si>
  <si>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</si>
  <si>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</si>
  <si>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</si>
  <si>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</si>
  <si>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</si>
  <si>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</si>
  <si>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</si>
  <si>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</si>
  <si>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</si>
  <si>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</si>
  <si>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</si>
  <si>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</si>
  <si>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</si>
  <si>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</si>
  <si>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</si>
  <si>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</si>
  <si>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</si>
  <si>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</si>
  <si>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</si>
  <si>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</si>
  <si>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</si>
  <si>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</si>
  <si>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</si>
  <si>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</si>
  <si>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</si>
  <si>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</si>
  <si>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</si>
  <si>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</si>
  <si>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</si>
  <si>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</si>
  <si>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</si>
  <si>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</si>
  <si>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</si>
  <si>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</si>
  <si>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</si>
  <si>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</si>
  <si>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</si>
  <si>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</si>
  <si>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</si>
  <si>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</si>
  <si>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</si>
  <si>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</si>
  <si>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</si>
  <si>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</si>
  <si>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</si>
  <si>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</si>
  <si>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</si>
  <si>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</si>
  <si>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</si>
  <si>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</si>
  <si>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</si>
  <si>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</si>
  <si>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</si>
  <si>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</si>
  <si>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</si>
  <si>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</si>
  <si>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</si>
  <si>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</si>
  <si>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</si>
  <si>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</si>
  <si>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</si>
  <si>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</si>
  <si>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</si>
  <si>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</si>
  <si>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</si>
  <si>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</si>
  <si>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</si>
  <si>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</si>
  <si>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</si>
  <si>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</si>
  <si>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</si>
  <si>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</si>
  <si>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</si>
  <si>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</si>
  <si>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</si>
  <si>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</si>
  <si>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</si>
  <si>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</si>
  <si>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</si>
  <si>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</si>
  <si>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</si>
  <si>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</si>
  <si>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</si>
  <si>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</si>
  <si>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</si>
  <si>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</si>
  <si>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</si>
  <si>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</si>
  <si>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</si>
  <si>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</si>
  <si>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</si>
  <si>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</si>
  <si>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</si>
  <si>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</si>
  <si>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</si>
  <si>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</si>
  <si>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</si>
  <si>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</si>
  <si>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</si>
  <si>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</si>
  <si>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</si>
  <si>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</si>
  <si>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</si>
  <si>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</si>
  <si>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</si>
  <si>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</si>
  <si>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</si>
  <si>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</si>
  <si>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</si>
  <si>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</si>
  <si>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</si>
  <si>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</si>
  <si>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</si>
  <si>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</si>
  <si>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</si>
  <si>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</si>
  <si>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</si>
  <si>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</si>
  <si>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</si>
  <si>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</si>
  <si>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</si>
  <si>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</si>
  <si>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</si>
  <si>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</si>
  <si>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</si>
  <si>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</si>
  <si>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</si>
  <si>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</si>
  <si>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</si>
  <si>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</si>
  <si>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</si>
  <si>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</si>
  <si>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</si>
  <si>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</si>
  <si>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</si>
  <si>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</si>
  <si>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</si>
  <si>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</si>
  <si>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</si>
  <si>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</si>
  <si>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</si>
  <si>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</si>
  <si>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</si>
  <si>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</si>
  <si>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</si>
  <si>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</si>
  <si>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</si>
  <si>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</si>
  <si>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</si>
  <si>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</si>
  <si>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</si>
  <si>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</si>
  <si>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</si>
  <si>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</si>
  <si>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</si>
  <si>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</si>
  <si>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</si>
  <si>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</si>
  <si>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</si>
  <si>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</si>
  <si>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</si>
  <si>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</si>
  <si>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</si>
  <si>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</si>
  <si>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</si>
  <si>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</si>
  <si>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</si>
  <si>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</si>
  <si>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</si>
  <si>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</si>
  <si>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</si>
  <si>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</si>
  <si>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</si>
  <si>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</si>
  <si>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</si>
  <si>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</si>
  <si>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</si>
  <si>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</si>
  <si>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</si>
  <si>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</si>
  <si>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</si>
  <si>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</si>
  <si>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</si>
  <si>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</si>
  <si>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</si>
  <si>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</si>
  <si>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</si>
  <si>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</si>
  <si>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</si>
  <si>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</si>
  <si>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</si>
  <si>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</si>
  <si>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</si>
  <si>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</si>
  <si>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</si>
  <si>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</si>
  <si>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</si>
  <si>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</si>
  <si>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</si>
  <si>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</si>
  <si>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</si>
  <si>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</si>
  <si>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</si>
  <si>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</si>
  <si>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</si>
  <si>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</si>
  <si>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</si>
  <si>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</si>
  <si>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</si>
  <si>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</si>
  <si>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</si>
  <si>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</si>
  <si>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</si>
  <si>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</si>
  <si>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</si>
  <si>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</si>
  <si>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</si>
  <si>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</si>
  <si>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</si>
  <si>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</si>
  <si>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</si>
  <si>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</si>
  <si>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</si>
  <si>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</si>
  <si>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</si>
  <si>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</si>
  <si>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</si>
  <si>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</si>
  <si>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</si>
  <si>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</si>
  <si>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</si>
  <si>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</si>
  <si>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</si>
  <si>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</si>
  <si>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</si>
  <si>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</si>
  <si>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</si>
  <si>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</si>
  <si>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</si>
  <si>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</si>
  <si>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</si>
  <si>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</si>
  <si>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</si>
  <si>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</si>
  <si>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</si>
  <si>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</si>
  <si>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</si>
  <si>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</si>
  <si>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</si>
  <si>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</si>
  <si>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</si>
  <si>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</si>
  <si>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</si>
  <si>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</si>
  <si>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</si>
  <si>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</si>
  <si>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</si>
  <si>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</si>
  <si>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</si>
  <si>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</si>
  <si>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</si>
  <si>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</si>
  <si>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</si>
  <si>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</si>
  <si>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</si>
  <si>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</si>
  <si>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</si>
  <si>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</si>
  <si>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</si>
  <si>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</si>
  <si>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</si>
  <si>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</si>
  <si>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</si>
  <si>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</si>
  <si>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</si>
  <si>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</si>
  <si>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</si>
  <si>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</si>
  <si>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</si>
  <si>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</si>
  <si>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</si>
  <si>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</si>
  <si>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</si>
  <si>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</si>
  <si>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</si>
  <si>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</si>
  <si>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</si>
  <si>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</si>
  <si>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</si>
  <si>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</si>
  <si>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</si>
  <si>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</si>
  <si>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</si>
  <si>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</si>
  <si>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</si>
  <si>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</si>
  <si>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</si>
  <si>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</si>
  <si>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</si>
  <si>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</si>
  <si>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</si>
  <si>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</si>
  <si>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</si>
  <si>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</si>
  <si>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</si>
  <si>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</si>
  <si>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</si>
  <si>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</si>
  <si>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</si>
  <si>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</si>
  <si>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</si>
  <si>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</si>
  <si>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</si>
  <si>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</si>
  <si>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</si>
  <si>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</si>
  <si>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</si>
  <si>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</si>
  <si>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</si>
  <si>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</si>
  <si>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</si>
  <si>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</si>
  <si>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</si>
  <si>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</si>
  <si>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</si>
  <si>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</si>
  <si>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</si>
  <si>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</si>
  <si>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</si>
  <si>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</si>
  <si>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</si>
  <si>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</si>
  <si>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</si>
  <si>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</si>
  <si>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</si>
  <si>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</si>
  <si>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</si>
  <si>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</si>
  <si>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</si>
  <si>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</si>
  <si>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</si>
  <si>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</si>
  <si>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</si>
  <si>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</si>
  <si>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</si>
  <si>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</si>
  <si>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</si>
  <si>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</si>
  <si>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</si>
  <si>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</si>
  <si>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</si>
  <si>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</si>
  <si>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</si>
  <si>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</si>
  <si>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</si>
  <si>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</si>
  <si>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</si>
  <si>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</si>
  <si>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</si>
  <si>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</si>
  <si>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</si>
  <si>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</si>
  <si>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</si>
  <si>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</si>
  <si>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</si>
  <si>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</si>
  <si>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</si>
  <si>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</si>
  <si>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</si>
  <si>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</si>
  <si>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</si>
  <si>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</si>
  <si>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</si>
  <si>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</si>
  <si>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</si>
  <si>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</si>
  <si>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</si>
  <si>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</si>
  <si>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</si>
  <si>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</si>
  <si>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</si>
  <si>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</si>
  <si>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</si>
  <si>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</si>
  <si>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</si>
  <si>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</si>
  <si>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</si>
  <si>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</si>
  <si>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</si>
  <si>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</si>
  <si>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</si>
  <si>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</si>
  <si>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</si>
  <si>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</si>
  <si>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</si>
  <si>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</si>
  <si>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</si>
  <si>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</si>
  <si>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</si>
  <si>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</si>
  <si>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</si>
  <si>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</si>
  <si>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</si>
  <si>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</si>
  <si>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</si>
  <si>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</si>
  <si>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</si>
  <si>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</si>
  <si>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</si>
  <si>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</si>
  <si>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</si>
  <si>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</si>
  <si>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</si>
  <si>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</si>
  <si>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</si>
  <si>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</si>
  <si>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</si>
  <si>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</si>
  <si>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</si>
  <si>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</si>
  <si>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</si>
  <si>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</si>
  <si>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</si>
  <si>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</si>
  <si>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</si>
  <si>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</si>
  <si>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</si>
  <si>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</si>
  <si>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</si>
  <si>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</si>
  <si>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</si>
  <si>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</si>
  <si>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</si>
  <si>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</si>
  <si>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</si>
  <si>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</si>
  <si>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</si>
  <si>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</si>
  <si>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</si>
  <si>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</si>
  <si>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</si>
  <si>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</si>
  <si>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</si>
  <si>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</si>
  <si>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</si>
  <si>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</si>
  <si>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</si>
  <si>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</si>
  <si>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</si>
  <si>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</si>
  <si>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</si>
  <si>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</si>
  <si>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</si>
  <si>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</si>
  <si>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</si>
  <si>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</si>
  <si>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</si>
  <si>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</si>
  <si>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</si>
  <si>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</si>
  <si>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</si>
  <si>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</si>
  <si>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</si>
  <si>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</si>
  <si>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</si>
  <si>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</si>
  <si>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</si>
  <si>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</si>
  <si>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</si>
  <si>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</si>
  <si>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</si>
  <si>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</si>
  <si>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</si>
  <si>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</si>
  <si>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</si>
  <si>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</si>
  <si>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</si>
  <si>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</si>
  <si>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</si>
  <si>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</si>
  <si>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</si>
  <si>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</si>
  <si>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</si>
  <si>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</si>
  <si>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</si>
  <si>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</si>
  <si>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</si>
  <si>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</si>
  <si>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</si>
  <si>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</si>
  <si>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</si>
  <si>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</si>
  <si>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</si>
  <si>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</si>
  <si>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</si>
  <si>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</si>
  <si>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</si>
  <si>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</si>
  <si>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</si>
  <si>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</si>
  <si>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</si>
  <si>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</si>
  <si>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</si>
  <si>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</si>
  <si>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</si>
  <si>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</si>
  <si>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</si>
  <si>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</si>
  <si>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</si>
  <si>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</si>
  <si>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</si>
  <si>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</si>
  <si>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</si>
  <si>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</si>
  <si>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</si>
  <si>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</si>
  <si>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</si>
  <si>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</si>
  <si>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</si>
  <si>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</si>
  <si>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</si>
  <si>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</si>
  <si>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</si>
  <si>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</si>
  <si>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</si>
  <si>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</si>
  <si>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</si>
  <si>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</si>
  <si>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</si>
  <si>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</si>
  <si>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</si>
  <si>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</si>
  <si>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</si>
  <si>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</si>
  <si>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</si>
  <si>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</si>
  <si>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</si>
  <si>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</si>
  <si>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</si>
  <si>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</si>
  <si>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</si>
  <si>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</si>
  <si>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</si>
  <si>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</si>
  <si>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</si>
  <si>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</si>
  <si>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</si>
  <si>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</si>
  <si>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</si>
  <si>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</si>
  <si>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</si>
  <si>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</si>
  <si>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</si>
  <si>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</si>
  <si>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</si>
  <si>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</si>
  <si>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</si>
  <si>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</si>
  <si>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</si>
  <si>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</si>
  <si>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</si>
  <si>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</si>
  <si>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</si>
  <si>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</si>
  <si>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</si>
  <si>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</si>
  <si>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</si>
  <si>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</si>
  <si>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</si>
  <si>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</si>
  <si>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</si>
  <si>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</si>
  <si>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</si>
  <si>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</si>
  <si>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</si>
  <si>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</si>
  <si>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</si>
  <si>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</si>
  <si>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</si>
  <si>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</si>
  <si>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</si>
  <si>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</si>
  <si>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</si>
  <si>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</si>
  <si>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</si>
  <si>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</si>
  <si>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</si>
  <si>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</si>
  <si>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</si>
  <si>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</si>
  <si>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</si>
  <si>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</si>
  <si>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</si>
  <si>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</si>
  <si>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</si>
  <si>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</si>
  <si>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</si>
  <si>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</si>
  <si>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</si>
  <si>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</si>
  <si>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</si>
  <si>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</si>
  <si>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</si>
  <si>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</si>
  <si>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</si>
  <si>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</si>
  <si>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</si>
  <si>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</si>
  <si>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</si>
  <si>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</si>
  <si>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</si>
  <si>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</si>
  <si>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</si>
  <si>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</si>
  <si>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</si>
  <si>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</si>
  <si>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</si>
  <si>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</si>
  <si>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</si>
  <si>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</si>
  <si>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</si>
  <si>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</si>
  <si>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</si>
  <si>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</si>
  <si>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</si>
  <si>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</si>
  <si>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</si>
  <si>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</si>
  <si>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</si>
  <si>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</si>
  <si>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</si>
  <si>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</si>
  <si>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</si>
  <si>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</si>
  <si>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</si>
  <si>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</si>
  <si>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</si>
  <si>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</si>
  <si>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</si>
  <si>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</si>
  <si>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</si>
  <si>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</si>
  <si>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</si>
  <si>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</si>
  <si>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</si>
  <si>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</si>
  <si>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</si>
  <si>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</si>
  <si>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</si>
  <si>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</si>
  <si>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</si>
  <si>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</si>
  <si>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</si>
  <si>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</si>
  <si>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</si>
  <si>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</si>
  <si>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</si>
  <si>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</si>
  <si>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</si>
  <si>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</si>
  <si>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</si>
  <si>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</si>
  <si>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</si>
  <si>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</si>
  <si>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</si>
  <si>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</si>
  <si>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</si>
  <si>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</si>
  <si>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</si>
  <si>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</si>
  <si>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</si>
  <si>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</si>
  <si>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</si>
  <si>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</si>
  <si>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</si>
  <si>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</si>
  <si>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</si>
  <si>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</si>
  <si>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</si>
  <si>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</si>
  <si>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</si>
  <si>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</si>
  <si>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</si>
  <si>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</si>
  <si>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</si>
  <si>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</si>
  <si>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</si>
  <si>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</si>
  <si>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</si>
  <si>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</si>
  <si>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</si>
  <si>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</si>
  <si>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</si>
  <si>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</si>
  <si>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</si>
  <si>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</si>
  <si>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</si>
  <si>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</si>
  <si>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</si>
  <si>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</si>
  <si>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</si>
  <si>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</si>
  <si>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</si>
  <si>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</si>
  <si>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</si>
  <si>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</si>
  <si>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</si>
  <si>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</si>
  <si>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</si>
  <si>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</si>
  <si>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</si>
  <si>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</si>
  <si>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</si>
  <si>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</si>
  <si>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</si>
  <si>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</si>
  <si>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</si>
  <si>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</si>
  <si>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</si>
  <si>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</si>
  <si>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</si>
  <si>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</si>
  <si>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</si>
  <si>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</si>
  <si>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</si>
  <si>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</si>
  <si>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</si>
  <si>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</si>
  <si>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</si>
  <si>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</si>
  <si>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</si>
  <si>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</si>
  <si>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</si>
  <si>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</si>
  <si>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</si>
  <si>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</si>
  <si>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</si>
  <si>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</si>
  <si>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</si>
  <si>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</si>
  <si>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</si>
  <si>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</si>
  <si>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</si>
  <si>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</si>
  <si>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</si>
  <si>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</si>
  <si>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</si>
  <si>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</si>
  <si>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</si>
  <si>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</si>
  <si>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</si>
  <si>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</si>
  <si>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</si>
  <si>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</si>
  <si>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</si>
  <si>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</si>
  <si>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</si>
  <si>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</si>
  <si>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</si>
  <si>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</si>
  <si>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</si>
  <si>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</si>
  <si>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</si>
  <si>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</si>
  <si>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</si>
  <si>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</si>
  <si>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</si>
  <si>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</si>
  <si>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</si>
  <si>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</si>
  <si>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</si>
  <si>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</si>
  <si>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</si>
  <si>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</si>
  <si>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</si>
  <si>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</si>
  <si>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</si>
  <si>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</si>
  <si>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</si>
  <si>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</si>
  <si>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</si>
  <si>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</si>
  <si>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</si>
  <si>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</si>
  <si>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</si>
  <si>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</si>
  <si>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</si>
  <si>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</si>
  <si>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</si>
  <si>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</si>
  <si>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</si>
  <si>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</si>
  <si>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</si>
  <si>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</si>
  <si>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</si>
  <si>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</si>
  <si>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</si>
  <si>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</si>
  <si>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</si>
  <si>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</si>
  <si>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</si>
  <si>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</si>
  <si>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</si>
  <si>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</si>
  <si>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</si>
  <si>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</si>
  <si>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</si>
  <si>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</si>
  <si>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</si>
  <si>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</si>
  <si>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</si>
  <si>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</si>
  <si>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</si>
  <si>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</si>
  <si>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</si>
  <si>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</si>
  <si>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</si>
  <si>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</si>
  <si>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</si>
  <si>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</si>
  <si>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</si>
  <si>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</si>
  <si>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</si>
  <si>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</si>
  <si>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</si>
  <si>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</si>
  <si>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</si>
  <si>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</si>
  <si>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</si>
  <si>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</si>
  <si>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</si>
  <si>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</si>
  <si>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</si>
  <si>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</si>
  <si>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</si>
  <si>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</si>
  <si>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</si>
  <si>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</si>
  <si>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</si>
  <si>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</si>
  <si>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</si>
  <si>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</si>
  <si>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</si>
  <si>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</si>
  <si>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</si>
  <si>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</si>
  <si>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</si>
  <si>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</si>
  <si>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</si>
  <si>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</si>
  <si>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</si>
  <si>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</si>
  <si>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</si>
  <si>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</si>
  <si>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</si>
  <si>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</si>
  <si>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</si>
  <si>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</si>
  <si>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</si>
  <si>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</si>
  <si>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</si>
  <si>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</si>
  <si>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</si>
  <si>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</si>
  <si>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</si>
  <si>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</si>
  <si>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</si>
  <si>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</si>
  <si>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</si>
  <si>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</si>
  <si>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</si>
  <si>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</si>
  <si>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</si>
  <si>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</si>
  <si>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</si>
  <si>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</si>
  <si>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</si>
  <si>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</si>
  <si>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</si>
  <si>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</si>
  <si>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</si>
  <si>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</si>
  <si>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</si>
  <si>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</si>
  <si>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</si>
  <si>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</si>
  <si>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</si>
  <si>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</si>
  <si>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</si>
  <si>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</si>
  <si>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</si>
  <si>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</si>
  <si>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</si>
  <si>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</si>
  <si>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</si>
  <si>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</si>
  <si>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</si>
  <si>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</si>
  <si>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</si>
  <si>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</si>
  <si>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</si>
  <si>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</si>
  <si>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</si>
  <si>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</si>
  <si>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</si>
  <si>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</si>
  <si>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</si>
  <si>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</si>
  <si>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</si>
  <si>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</si>
  <si>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</si>
  <si>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</si>
  <si>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</si>
  <si>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</si>
  <si>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</si>
  <si>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</si>
  <si>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</si>
  <si>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</si>
  <si>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</si>
  <si>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</si>
  <si>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</si>
  <si>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</si>
  <si>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</si>
  <si>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</si>
  <si>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</si>
  <si>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</si>
  <si>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</si>
  <si>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</si>
  <si>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</si>
  <si>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</si>
  <si>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</si>
  <si>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</si>
  <si>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</si>
  <si>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</si>
  <si>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</si>
  <si>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</si>
  <si>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</si>
  <si>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</si>
  <si>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</si>
  <si>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</si>
  <si>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</si>
  <si>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</si>
  <si>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</si>
  <si>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</si>
  <si>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</si>
  <si>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</si>
  <si>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</si>
  <si>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</si>
  <si>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</si>
  <si>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</si>
  <si>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</si>
  <si>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</si>
  <si>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</si>
  <si>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</si>
  <si>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</si>
  <si>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</si>
  <si>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</si>
  <si>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</si>
  <si>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</si>
  <si>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</si>
  <si>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</si>
  <si>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</si>
  <si>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</si>
  <si>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</si>
  <si>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</si>
  <si>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</si>
  <si>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</si>
  <si>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</si>
  <si>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</si>
  <si>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</si>
  <si>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</si>
  <si>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</si>
  <si>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</si>
  <si>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</si>
  <si>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</si>
  <si>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</si>
  <si>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</si>
  <si>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</si>
  <si>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</si>
  <si>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</si>
  <si>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</si>
  <si>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</si>
  <si>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</si>
  <si>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</si>
  <si>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</si>
  <si>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</si>
  <si>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</si>
  <si>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</si>
  <si>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</si>
  <si>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</si>
  <si>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</si>
  <si>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</si>
  <si>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</si>
  <si>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</si>
  <si>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</si>
  <si>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</si>
  <si>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UNIT</t>
  </si>
  <si>
    <t xml:space="preserve">UNIT 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</si>
  <si>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</si>
  <si>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</si>
  <si>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</si>
  <si>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</si>
  <si>
    <t>PETA LOKASI</t>
  </si>
  <si>
    <t xml:space="preserve">SINGLE LINE DIAGRAM LOKASI </t>
  </si>
  <si>
    <t>NFA2X-T 3 x 70 + N 50 mm²</t>
  </si>
  <si>
    <t>G312-A 100KVA</t>
  </si>
  <si>
    <t>APP66KVA</t>
  </si>
  <si>
    <t>Daya 66.000 VA</t>
  </si>
  <si>
    <t>PEKERJAAN BONGKAR</t>
  </si>
  <si>
    <t>Demak, 16 Oktober 2023</t>
  </si>
  <si>
    <t>APP 7,7KVA</t>
  </si>
  <si>
    <t>CM2-11</t>
  </si>
  <si>
    <t>CJ6-T</t>
  </si>
  <si>
    <t>CJ5-T</t>
  </si>
  <si>
    <t>CM2-12</t>
  </si>
  <si>
    <t>CE1-2</t>
  </si>
  <si>
    <t>F1-2</t>
  </si>
  <si>
    <t>CM2-12A</t>
  </si>
  <si>
    <t>LVTC 3X70+70</t>
  </si>
  <si>
    <t>MTR</t>
  </si>
  <si>
    <t>PD GONDO PRAJITNO (GSG DISPORA) 7,7-66KVA</t>
  </si>
  <si>
    <t>-7.110735, 110.907363</t>
  </si>
  <si>
    <t>DS DANYANG</t>
  </si>
  <si>
    <t>Trafo 3 Fasa 100 KVA 1 Tiang (G312-A)</t>
  </si>
  <si>
    <t>CM2-11M</t>
  </si>
  <si>
    <t>Stainless Steel Strap 20 X 0.7 mm</t>
  </si>
  <si>
    <t>P1</t>
  </si>
  <si>
    <t>PWI12-69</t>
  </si>
  <si>
    <t>PWI12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</si>
</sst>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sz val="11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  <xf numFmtId="0" fontId="109" fillId="0" borderId="0"/>
  </cellStyleXfs>
  <cellXfs count="730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quotePrefix="1" applyFont="1" applyFill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0" xfId="0" applyFont="1" applyFill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116" fillId="33" borderId="0" xfId="0" applyFont="1" applyFill="1" applyAlignment="1">
      <alignment horizontal="center"/>
    </xf>
    <xf numFmtId="0" fontId="90" fillId="33" borderId="69" xfId="0" applyFont="1" applyFill="1" applyBorder="1" applyAlignment="1">
      <alignment horizontal="left" vertical="center"/>
    </xf>
    <xf numFmtId="0" fontId="113" fillId="33" borderId="39" xfId="0" applyFont="1" applyFill="1" applyBorder="1" applyAlignment="1">
      <alignment horizontal="center" vertical="top" wrapText="1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42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71" fillId="0" borderId="21" xfId="0" applyFont="1" applyBorder="1" applyAlignment="1">
      <alignment wrapText="1"/>
    </xf>
    <xf numFmtId="0" fontId="171" fillId="0" borderId="20" xfId="0" applyFont="1" applyBorder="1" applyAlignment="1">
      <alignment wrapText="1"/>
    </xf>
    <xf numFmtId="0" fontId="113" fillId="33" borderId="26" xfId="0" applyFont="1" applyFill="1" applyBorder="1" applyAlignment="1">
      <alignment horizontal="center"/>
    </xf>
    <xf numFmtId="0" fontId="90" fillId="33" borderId="94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0" fontId="173" fillId="33" borderId="59" xfId="0" applyFont="1" applyFill="1" applyBorder="1" applyAlignment="1">
      <alignment horizontal="left" vertical="center"/>
    </xf>
    <xf numFmtId="0" fontId="173" fillId="33" borderId="69" xfId="0" applyFont="1" applyFill="1" applyBorder="1" applyAlignment="1">
      <alignment horizontal="left" vertical="center"/>
    </xf>
    <xf numFmtId="0" fontId="90" fillId="33" borderId="95" xfId="0" applyFont="1" applyFill="1" applyBorder="1" applyAlignment="1">
      <alignment horizontal="center" vertical="center"/>
    </xf>
    <xf numFmtId="0" fontId="173" fillId="33" borderId="96" xfId="0" applyFont="1" applyFill="1" applyBorder="1" applyAlignment="1">
      <alignment horizontal="left" vertical="center"/>
    </xf>
    <xf numFmtId="0" fontId="173" fillId="33" borderId="97" xfId="0" applyFont="1" applyFill="1" applyBorder="1" applyAlignment="1">
      <alignment horizontal="left" vertical="center"/>
    </xf>
    <xf numFmtId="0" fontId="173" fillId="33" borderId="98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7" fillId="33" borderId="101" xfId="0" applyFont="1" applyFill="1" applyBorder="1" applyAlignment="1">
      <alignment horizontal="center" vertical="top" wrapText="1"/>
    </xf>
    <xf numFmtId="0" fontId="117" fillId="33" borderId="102" xfId="0" applyFont="1" applyFill="1" applyBorder="1" applyAlignment="1">
      <alignment horizontal="center" vertical="top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52" fillId="33" borderId="21" xfId="1615" applyFont="1" applyFill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8" fillId="0" borderId="21" xfId="2678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71" fillId="0" borderId="20" xfId="0" applyFont="1" applyBorder="1" applyAlignment="1">
      <alignment horizontal="center" wrapText="1"/>
    </xf>
    <xf numFmtId="0" fontId="174" fillId="0" borderId="20" xfId="0" applyFont="1" applyBorder="1" applyAlignment="1">
      <alignment horizontal="center" wrapText="1"/>
    </xf>
    <xf numFmtId="0" fontId="174" fillId="0" borderId="21" xfId="0" applyFont="1" applyBorder="1" applyAlignment="1">
      <alignment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2" fillId="0" borderId="21" xfId="1652" applyFont="1" applyBorder="1" applyAlignment="1">
      <alignment vertical="center"/>
    </xf>
    <xf numFmtId="0" fontId="42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87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113" fillId="33" borderId="7" xfId="0" applyFont="1" applyFill="1" applyBorder="1" applyAlignment="1">
      <alignment vertical="top" wrapText="1"/>
    </xf>
    <xf numFmtId="0" fontId="113" fillId="33" borderId="41" xfId="0" applyFont="1" applyFill="1" applyBorder="1" applyAlignment="1">
      <alignment vertical="top" wrapText="1"/>
    </xf>
    <xf numFmtId="0" fontId="117" fillId="33" borderId="99" xfId="0" applyFont="1" applyFill="1" applyBorder="1" applyAlignment="1">
      <alignment horizontal="center" vertical="center" wrapText="1"/>
    </xf>
    <xf numFmtId="0" fontId="117" fillId="33" borderId="100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38" xfId="0" applyFont="1" applyFill="1" applyBorder="1" applyAlignment="1">
      <alignment horizontal="left" vertical="top" wrapText="1"/>
    </xf>
    <xf numFmtId="0" fontId="114" fillId="33" borderId="56" xfId="0" applyFont="1" applyFill="1" applyBorder="1" applyAlignment="1">
      <alignment horizontal="left" vertical="top" wrapText="1"/>
    </xf>
    <xf numFmtId="0" fontId="114" fillId="33" borderId="57" xfId="0" applyFont="1" applyFill="1" applyBorder="1" applyAlignment="1">
      <alignment horizontal="left" vertical="top" wrapText="1"/>
    </xf>
    <xf numFmtId="0" fontId="114" fillId="33" borderId="43" xfId="0" applyFont="1" applyFill="1" applyBorder="1" applyAlignment="1">
      <alignment horizontal="left" vertical="top" wrapText="1"/>
    </xf>
    <xf numFmtId="0" fontId="114" fillId="33" borderId="44" xfId="0" applyFont="1" applyFill="1" applyBorder="1" applyAlignment="1">
      <alignment horizontal="left" vertical="top" wrapText="1"/>
    </xf>
    <xf numFmtId="0" fontId="114" fillId="33" borderId="45" xfId="0" applyFont="1" applyFill="1" applyBorder="1" applyAlignment="1">
      <alignment horizontal="left" vertical="top" wrapText="1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vertical="center"/>
    </xf>
    <xf numFmtId="49" fontId="113" fillId="33" borderId="41" xfId="0" applyNumberFormat="1" applyFont="1" applyFill="1" applyBorder="1" applyAlignment="1">
      <alignment vertical="center"/>
    </xf>
    <xf numFmtId="49" fontId="113" fillId="33" borderId="50" xfId="0" applyNumberFormat="1" applyFont="1" applyFill="1" applyBorder="1" applyAlignment="1">
      <alignment vertical="top" wrapText="1"/>
    </xf>
    <xf numFmtId="49" fontId="113" fillId="33" borderId="41" xfId="0" applyNumberFormat="1" applyFont="1" applyFill="1" applyBorder="1" applyAlignment="1">
      <alignment vertical="top" wrapText="1"/>
    </xf>
    <xf numFmtId="0" fontId="90" fillId="33" borderId="94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49" fontId="90" fillId="33" borderId="94" xfId="0" applyNumberFormat="1" applyFont="1" applyFill="1" applyBorder="1" applyAlignment="1">
      <alignment horizontal="left" vertical="center"/>
    </xf>
    <xf numFmtId="49" fontId="90" fillId="33" borderId="40" xfId="0" applyNumberFormat="1" applyFont="1" applyFill="1" applyBorder="1" applyAlignment="1">
      <alignment horizontal="left" vertical="center"/>
    </xf>
    <xf numFmtId="49" fontId="172" fillId="33" borderId="94" xfId="0" applyNumberFormat="1" applyFont="1" applyFill="1" applyBorder="1" applyAlignment="1">
      <alignment horizontal="left" vertical="center"/>
    </xf>
    <xf numFmtId="49" fontId="172" fillId="33" borderId="40" xfId="0" applyNumberFormat="1" applyFont="1" applyFill="1" applyBorder="1" applyAlignment="1">
      <alignment horizontal="left" vertical="center"/>
    </xf>
    <xf numFmtId="0" fontId="172" fillId="33" borderId="59" xfId="0" applyFont="1" applyFill="1" applyBorder="1" applyAlignment="1">
      <alignment horizontal="left" vertical="center"/>
    </xf>
    <xf numFmtId="0" fontId="172" fillId="33" borderId="60" xfId="0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150</xdr:row>
      <xdr:rowOff>68515</xdr:rowOff>
    </xdr:from>
    <xdr:to>
      <xdr:col>12</xdr:col>
      <xdr:colOff>189677</xdr:colOff>
      <xdr:row>153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81712</xdr:colOff>
      <xdr:row>11</xdr:row>
      <xdr:rowOff>29745</xdr:rowOff>
    </xdr:from>
    <xdr:to>
      <xdr:col>19</xdr:col>
      <xdr:colOff>90650</xdr:colOff>
      <xdr:row>16</xdr:row>
      <xdr:rowOff>44422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22C79DB-D7F5-4B70-A7B6-5F17780B0415}"/>
            </a:ext>
          </a:extLst>
        </xdr:cNvPr>
        <xdr:cNvSpPr/>
      </xdr:nvSpPr>
      <xdr:spPr>
        <a:xfrm>
          <a:off x="5349451" y="1702832"/>
          <a:ext cx="1532938" cy="77667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C91808-A8F2-4577-AEC1-84A3CC50C410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3CC77A0-D5FF-4BD3-874D-8ED7B81C9E30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9F56ADFD-612B-8700-EC6C-5A40A452EE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11DE5352-0E39-3F7C-2D13-D675CE16D96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C70143B-E620-C006-8EF3-C9C8FA78EBD5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53A99D9-DD83-48D2-90B4-E93D3C36DD41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4245A148-DCEE-40EB-A2F4-9C3C1E57D1E7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BC906905-B0D2-8030-09AC-CA85176E60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FA322E31-05BA-9AF7-5DB6-242F08451195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B95FF1C-3353-E121-EBDC-A2F664D82A65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5156287-96BD-485A-8B5E-B1E150BB228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5CF9587-E8AB-49B3-AD0D-A1A98F5476A6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12FC878-A3B5-46C6-96B6-375DFD4882CE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11A324D-85C5-4681-9C68-C0A670E47BCC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55DBA31-D967-4176-8B1B-F31C45C03133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51E771F-09B1-4EC4-8C3C-F49EE7BF0904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2953CF2-0444-4B6F-82F3-9239E2AB790E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2F899EE-0D60-4B1A-AA2C-85B83B76DE71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61EBCAD-516D-4EB8-BED5-683F6BAFF186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AF81B54-F9AC-4C92-B46F-A1C177A5DCFF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108DE226-657E-41EF-861D-9CDB245F8402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2B29ED8-5445-4575-84E1-258BB2028207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4BAC05D-C7A7-4117-9C12-AC4ABE3F37D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7681CD5-5328-468D-9948-FE34E809A942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FEFC281-D24E-4483-94EC-B1F11DE95C6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AA4E257B-6C12-48E8-8888-B2A7C6AE15EF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5850F95-803B-4B6A-B300-639EA9887C63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83E37DB-E7DB-4D4F-8265-4DE28317377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94CE73C-AEC1-4E10-8424-7817152BC5E4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D4914F51-72CB-4C57-89A2-6710BDA1D841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913DA88-128F-4A1F-A248-715E2B281B66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1AFA34A4-0D75-461C-BD16-489BFD0C66C5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38A6719-2EB1-4DFF-9DD4-204B19615A46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70B4D622-3F62-4624-96B4-917960868CCE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204DCE25-C96F-428C-B9BC-3021A94EB153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AB04DFCC-0200-426C-879C-5E0421583B2D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663701B-FEB7-FF78-4A7A-656E2D909C8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CF14A2C0-2C5C-64E0-C9EC-9DB27DA9B90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98ABF09B-9778-4C69-AE38-FFD0BEBF1D04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A0D6769-70AF-760A-E5F4-ADE9B44DFA3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80F29F3-84D5-96A3-7316-423CC44B650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A495E0FD-9B02-47AA-ADB5-E5BE904BD947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8F39795C-6583-7EB5-12FC-F0666FBAF6E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FD05BB64-1CD3-00E0-73B2-94D6F31CDEC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85F60D4-F35D-B086-B12C-0E25EF4A831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66EAF715-54FC-F86D-3C4D-565D1137DB4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78ED48B0-5AE9-4934-9639-92C0E661CD29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691429B-71E1-4772-8537-349948F4704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BC5E5157-EBB1-71EB-645C-2576B71EF69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CBF4458-95A8-A3A7-3C51-55D4C6FE60E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703BFDA-65FC-E0E8-0C69-1CEB485F62C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2437723C-7CF2-4DCC-A958-8046806D3A0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5AD1DCE-B4CD-40FE-9EC6-02DB9D016614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CAEC233-2585-4431-8EDD-0E00CD180A80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7F005219-FDED-446A-B917-59B37CCD890C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D85837F8-B251-41C6-8CED-70939C0CDA8F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D813B677-1F80-EE04-3906-55CB324EA4A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E5CDB3D-DBCD-9045-F11A-584F1B186B0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1CABC4B6-B767-9AB9-3A53-A8C26EF8AA9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0135C099-D4CA-476B-BA6C-BE5444C1E2F9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35578E-320C-F9D5-1671-DC1ACCA086D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97FFA4E-9023-98D8-CB96-B25E368FE96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F516F599-689F-6819-EE57-4518C6D188D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82A79078-4641-40E6-AA33-8BBC3DB27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4C5AE799-08D8-4CC1-BFC2-FB8E2C67074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DC3F1A10-1591-43F5-82C5-DFAFCD8DB3DB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CBE0047-4BA2-44E0-8AFF-C47AF8053AFA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E5655E2-F488-42FA-A52D-2DD53B0F9880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2DE62BF3-21FE-490C-A11D-959561A744A8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8865603A-0BEE-4E42-8106-F06932C6364B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7F2BD4A7-2DDF-496F-B90E-6A92E70A9905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DA71CAC5-FA7F-62C1-A48A-C4B5E8E2708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A2A7B84C-1094-F67D-95AB-DFB81E66CD8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BC051487-FC68-E0F4-423B-65C46976FD3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0AF5928-284C-416C-AC11-FB50BD8039FF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7BE5881F-4257-4A60-211E-20DCA53AF4F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D0E1D8B1-6A14-7DA9-DF50-35986C43BE9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7E979EDB-BFFF-5621-BC55-85A54BE61B6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D500360F-3F62-40F8-932D-44ED2408DD9A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367674F-B050-5B2E-132C-EE8F6BBA7B4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C54604F-89D5-CC05-532B-DF837128A49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4139BAB-79AD-DC82-5DBF-ABC9DB686C2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F5CE8D3-D3D4-BD3A-5EA5-4D0EFBADA62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BD23F2D9-3F6B-4158-92D6-A0BCCFA07A5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E3843152-E59B-4835-94A1-F3EBA1795A22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E6335C75-AEB1-4A49-9656-6A08756B66E0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CA78CAEC-1162-0E3F-FFC5-5948590F60A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40B6CFE-024C-E666-8427-235B995F90F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B8CED171-FCFD-4BBE-9224-2548610B81E7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F17279AB-6F65-6370-44C7-58F98BA81DD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EC04FA3-155F-F03E-71AD-23A52ACFBD3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31B92FB0-8242-47D5-AE4B-2AB3C6FC4F7F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DE8DE4B-56DB-2E54-8150-9F2FCB2393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5869DC5-5DD7-4670-B617-FFFB6AF33D2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27AB2957-3845-78FC-0B91-7B59F4893AA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433B8D99-51ED-1132-ACEE-8C14C8E3967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08E82B8B-7FFD-4B92-9D34-FC3E6BB8741E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5BC084C-D523-3A38-C0E9-A86D606FA66F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D798F57-8E37-2CC0-F00C-A8F2C810C9F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3C2C5EF7-357E-803C-79F4-D3C862DB96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B781EB9-4DA5-FE08-1DD5-7FA8B5371EE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29E53CC-7BB8-4C6F-8542-FD96B4DB939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FFEB9BE-CE61-4194-AC6D-E865A8B462D6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2241221F-942E-4719-9016-FE867C3445F0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EF36B94D-6871-498E-99BF-8FB2DAE9940A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1888EF0-C373-4461-B3E1-3A5F5B955B3F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2CEBA2E5-F1C1-2D15-6D38-C35BA4D3C7F7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9E467CCF-02D1-478F-FFC5-6912BA75129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2FC20E57-A6C0-759C-2D09-8F537222E09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DAAD4D56-9EED-4246-9780-55009913FB1A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86DC222F-9228-FC88-9F13-ED03AD5E454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2888591A-A898-46B1-8E1A-C44DE5A75B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84F88991-6585-A2B8-258D-1EA5BCAAFB0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357137</xdr:colOff>
      <xdr:row>8</xdr:row>
      <xdr:rowOff>112722</xdr:rowOff>
    </xdr:from>
    <xdr:to>
      <xdr:col>11</xdr:col>
      <xdr:colOff>140807</xdr:colOff>
      <xdr:row>31</xdr:row>
      <xdr:rowOff>115956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D5CE587-128C-44B7-8185-A827D1E104E1}"/>
            </a:ext>
          </a:extLst>
        </xdr:cNvPr>
        <xdr:cNvSpPr txBox="1"/>
      </xdr:nvSpPr>
      <xdr:spPr>
        <a:xfrm rot="16200000">
          <a:off x="2081952" y="2976472"/>
          <a:ext cx="3440517" cy="16467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FCF5DA2-2D00-43D8-B4E5-934613EAD362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4BC13F8-2267-490D-985E-5E0DB239AC51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A577D95-382A-4338-8BFD-415F1CEE6DC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C98F255-2267-4869-A017-AC8347EDDE07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B60F551B-B203-4C63-9DB8-2C1E323D745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4694A58A-69D2-4684-A6B6-F66A3A4A79A1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E312FDB0-D3CA-4E6D-BDBD-99C58814DA22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12</xdr:col>
      <xdr:colOff>205824</xdr:colOff>
      <xdr:row>25</xdr:row>
      <xdr:rowOff>143289</xdr:rowOff>
    </xdr:from>
    <xdr:to>
      <xdr:col>12</xdr:col>
      <xdr:colOff>352831</xdr:colOff>
      <xdr:row>26</xdr:row>
      <xdr:rowOff>132063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6455D674-9BA8-44A7-8F3D-0E4FFF424AF6}"/>
            </a:ext>
          </a:extLst>
        </xdr:cNvPr>
        <xdr:cNvGrpSpPr/>
      </xdr:nvGrpSpPr>
      <xdr:grpSpPr>
        <a:xfrm>
          <a:off x="4330563" y="3920159"/>
          <a:ext cx="147007" cy="137861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D695FED2-C513-A9AB-4A3B-1336B07E454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BE41EC37-0D46-D7B2-93A4-E412581E02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EF4903E1-FE3C-D97E-387A-ECDC71077F1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D51077C-C6F8-4AFD-BABA-A33A6ECCF6A5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4169DFC4-43C5-7B6A-A1B7-D8BEAB95D8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98C573D3-26E6-6517-00F3-6BE4955F0E7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76A556F3-C8A7-BDB3-3244-E16AD76693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7CFF92FD-B8CB-4314-811D-05545344B128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8EE84636-9D5A-EBC8-F6E7-2CF695A81B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0AFC98D-71FB-0F2D-E820-CC20F1613C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7CCFE6D3-E9DC-178F-5ECB-30306B38AF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37E5499-49AA-488B-8EB9-D95A9CF1E153}"/>
            </a:ext>
          </a:extLst>
        </xdr:cNvPr>
        <xdr:cNvGrpSpPr/>
      </xdr:nvGrpSpPr>
      <xdr:grpSpPr>
        <a:xfrm>
          <a:off x="4768629" y="8567364"/>
          <a:ext cx="125502" cy="138305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53D4BAC4-994B-57D4-3575-00B0937CF5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FCB47EA4-3910-0648-72AB-CBD6E2B531D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AA51B81E-521F-EEA3-AAC8-F75A32AD0B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C1719041-944C-4305-9EAF-8767501EE893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48A81DAF-9A3A-47C0-BCDD-DD6DC7191EAC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BE957312-7DBA-945C-D205-5663326A7FB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235170DA-DE82-722A-14B1-83AD962EF7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D2561A1B-18C0-5D4B-C307-8935A032D6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3CB76C11-E57D-4A31-A7B3-DD9E9D7891C3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2ADD8DF3-54D1-FAD2-C31D-2836D36F16E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DDEDF696-231C-7212-1B6A-8BBABA9AD6C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D50300D9-27BD-EEBA-DFB8-BA69068C97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2EBE7286-A98F-4F9F-8C7F-CCC1E77253D8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27AC385A-4D00-4A93-B640-40EA057DFE0F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5657985C-8851-44C2-B18E-B859028D693D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79D1C465-A4A2-4E68-8B34-5941FAFD53B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51D923F7-440D-4676-BF7B-9F732B4FA308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7BB3223F-2265-42B4-A9F7-4D2066CDE4A5}"/>
            </a:ext>
          </a:extLst>
        </xdr:cNvPr>
        <xdr:cNvGrpSpPr/>
      </xdr:nvGrpSpPr>
      <xdr:grpSpPr>
        <a:xfrm>
          <a:off x="1958754" y="8727883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E97C611F-2BAC-FDCB-335E-B0E56970C8C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46216ED1-42C0-739C-53AD-E8B415994D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56D828A8-5FF9-405B-0075-D273C332556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80FE6599-7A8B-47D7-ABA6-451CBA209DF0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A4673155-0FD6-4DA4-A3A3-B9970633A2B1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D1CCF619-3346-69B2-EB29-46D742B08AD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55C07F75-580E-32CA-E4EC-F554B84201B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67B48C23-C25F-6429-73CA-CDD84CB4B74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9800DD04-1D0B-46BB-B4F7-F786A05C2309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8A65E1EC-FA26-2F70-954B-9D4F530E3DC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63059A0E-E2F1-B6B8-EEA8-A51CC8DDD8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DE531A98-7527-8DF4-8D66-4037534FFA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A8F9F163-17E1-E687-D602-6A55146D0ED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0FA4E5C5-244D-4FB5-9528-B338E89AF8B5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9F148B43-68AA-BAD8-F884-EE225D4BCD8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A5681D27-6521-B0B4-A1C0-715248616BB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0A1E2F6F-8EFC-459E-011D-948C2728FE6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69D15988-B92F-E504-8E65-A2BB93D9AB8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8283</xdr:colOff>
      <xdr:row>27</xdr:row>
      <xdr:rowOff>66261</xdr:rowOff>
    </xdr:from>
    <xdr:to>
      <xdr:col>18</xdr:col>
      <xdr:colOff>215348</xdr:colOff>
      <xdr:row>28</xdr:row>
      <xdr:rowOff>58408</xdr:rowOff>
    </xdr:to>
    <xdr:sp macro="" textlink="">
      <xdr:nvSpPr>
        <xdr:cNvPr id="185" name="TextBox 115">
          <a:extLst>
            <a:ext uri="{FF2B5EF4-FFF2-40B4-BE49-F238E27FC236}">
              <a16:creationId xmlns:a16="http://schemas.microsoft.com/office/drawing/2014/main" id="{CA686BC7-6AC6-42A4-BC42-F3558CD34544}"/>
            </a:ext>
          </a:extLst>
        </xdr:cNvPr>
        <xdr:cNvSpPr txBox="1"/>
      </xdr:nvSpPr>
      <xdr:spPr>
        <a:xfrm>
          <a:off x="2228022" y="4141304"/>
          <a:ext cx="4398065" cy="14123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9</xdr:col>
      <xdr:colOff>265043</xdr:colOff>
      <xdr:row>26</xdr:row>
      <xdr:rowOff>147222</xdr:rowOff>
    </xdr:from>
    <xdr:to>
      <xdr:col>12</xdr:col>
      <xdr:colOff>57978</xdr:colOff>
      <xdr:row>32</xdr:row>
      <xdr:rowOff>57978</xdr:rowOff>
    </xdr:to>
    <xdr:sp macro="" textlink="">
      <xdr:nvSpPr>
        <xdr:cNvPr id="202" name="TextBox 157">
          <a:extLst>
            <a:ext uri="{FF2B5EF4-FFF2-40B4-BE49-F238E27FC236}">
              <a16:creationId xmlns:a16="http://schemas.microsoft.com/office/drawing/2014/main" id="{F1CF30A6-6871-4173-BF9E-12238E66893E}"/>
            </a:ext>
          </a:extLst>
        </xdr:cNvPr>
        <xdr:cNvSpPr txBox="1"/>
      </xdr:nvSpPr>
      <xdr:spPr>
        <a:xfrm>
          <a:off x="3246782" y="4073179"/>
          <a:ext cx="935935" cy="7969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PWI12-66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DC-C1-1H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CM2-11M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166480</xdr:colOff>
      <xdr:row>10</xdr:row>
      <xdr:rowOff>141013</xdr:rowOff>
    </xdr:from>
    <xdr:to>
      <xdr:col>19</xdr:col>
      <xdr:colOff>331303</xdr:colOff>
      <xdr:row>14</xdr:row>
      <xdr:rowOff>91109</xdr:rowOff>
    </xdr:to>
    <xdr:sp macro="" textlink="">
      <xdr:nvSpPr>
        <xdr:cNvPr id="206" name="TextBox 157">
          <a:extLst>
            <a:ext uri="{FF2B5EF4-FFF2-40B4-BE49-F238E27FC236}">
              <a16:creationId xmlns:a16="http://schemas.microsoft.com/office/drawing/2014/main" id="{8CA260B1-64CD-4FC4-AC94-78B2649FFFED}"/>
            </a:ext>
          </a:extLst>
        </xdr:cNvPr>
        <xdr:cNvSpPr txBox="1"/>
      </xdr:nvSpPr>
      <xdr:spPr>
        <a:xfrm>
          <a:off x="5815219" y="1665013"/>
          <a:ext cx="1307823" cy="56300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 7,7 KVA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APP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66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60MTR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91108</xdr:colOff>
      <xdr:row>26</xdr:row>
      <xdr:rowOff>16564</xdr:rowOff>
    </xdr:from>
    <xdr:to>
      <xdr:col>15</xdr:col>
      <xdr:colOff>238115</xdr:colOff>
      <xdr:row>27</xdr:row>
      <xdr:rowOff>5339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C0091E7E-00CC-4EB5-BFB4-F6E6D7F4775A}"/>
            </a:ext>
          </a:extLst>
        </xdr:cNvPr>
        <xdr:cNvGrpSpPr/>
      </xdr:nvGrpSpPr>
      <xdr:grpSpPr>
        <a:xfrm>
          <a:off x="5358847" y="3942521"/>
          <a:ext cx="147007" cy="137861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34E6B487-BE81-BF4C-B6B2-D8FCE59E9A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417477B6-6EDB-7A8E-E8D3-77973B0EFCD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4A93D3F8-DE72-ABF2-6EBB-07B704CFEBB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24844</xdr:colOff>
      <xdr:row>14</xdr:row>
      <xdr:rowOff>140803</xdr:rowOff>
    </xdr:from>
    <xdr:to>
      <xdr:col>17</xdr:col>
      <xdr:colOff>191410</xdr:colOff>
      <xdr:row>16</xdr:row>
      <xdr:rowOff>21660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5A99A232-47A1-46CE-9DFE-985B4E47345F}"/>
            </a:ext>
          </a:extLst>
        </xdr:cNvPr>
        <xdr:cNvSpPr/>
      </xdr:nvSpPr>
      <xdr:spPr>
        <a:xfrm>
          <a:off x="6054583" y="2277716"/>
          <a:ext cx="166566" cy="179031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222591</xdr:colOff>
      <xdr:row>19</xdr:row>
      <xdr:rowOff>38469</xdr:rowOff>
    </xdr:from>
    <xdr:to>
      <xdr:col>13</xdr:col>
      <xdr:colOff>231913</xdr:colOff>
      <xdr:row>25</xdr:row>
      <xdr:rowOff>132521</xdr:rowOff>
    </xdr:to>
    <xdr:cxnSp macro="">
      <xdr:nvCxnSpPr>
        <xdr:cNvPr id="222" name="Straight Connector 221">
          <a:extLst>
            <a:ext uri="{FF2B5EF4-FFF2-40B4-BE49-F238E27FC236}">
              <a16:creationId xmlns:a16="http://schemas.microsoft.com/office/drawing/2014/main" id="{3D5E42C4-C9B5-44AB-8E72-DCED3C85D3DE}"/>
            </a:ext>
          </a:extLst>
        </xdr:cNvPr>
        <xdr:cNvCxnSpPr>
          <a:cxnSpLocks/>
        </xdr:cNvCxnSpPr>
      </xdr:nvCxnSpPr>
      <xdr:spPr bwMode="auto">
        <a:xfrm>
          <a:off x="4728330" y="2920817"/>
          <a:ext cx="9322" cy="98857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215348</xdr:colOff>
      <xdr:row>22</xdr:row>
      <xdr:rowOff>0</xdr:rowOff>
    </xdr:from>
    <xdr:to>
      <xdr:col>13</xdr:col>
      <xdr:colOff>362355</xdr:colOff>
      <xdr:row>22</xdr:row>
      <xdr:rowOff>137861</xdr:rowOff>
    </xdr:to>
    <xdr:grpSp>
      <xdr:nvGrpSpPr>
        <xdr:cNvPr id="234" name="Group 13">
          <a:extLst>
            <a:ext uri="{FF2B5EF4-FFF2-40B4-BE49-F238E27FC236}">
              <a16:creationId xmlns:a16="http://schemas.microsoft.com/office/drawing/2014/main" id="{FAD822A5-E7C1-4463-90EE-0DC6F4461A57}"/>
            </a:ext>
          </a:extLst>
        </xdr:cNvPr>
        <xdr:cNvGrpSpPr/>
      </xdr:nvGrpSpPr>
      <xdr:grpSpPr>
        <a:xfrm>
          <a:off x="4721087" y="3329609"/>
          <a:ext cx="147007" cy="137861"/>
          <a:chOff x="9937028" y="802652"/>
          <a:chExt cx="83991" cy="77961"/>
        </a:xfrm>
      </xdr:grpSpPr>
      <xdr:sp macro="" textlink="">
        <xdr:nvSpPr>
          <xdr:cNvPr id="235" name="Oval 1">
            <a:extLst>
              <a:ext uri="{FF2B5EF4-FFF2-40B4-BE49-F238E27FC236}">
                <a16:creationId xmlns:a16="http://schemas.microsoft.com/office/drawing/2014/main" id="{F7865C77-4140-D17E-2C4F-454A93CB166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6" name="Straight Connector 3">
            <a:extLst>
              <a:ext uri="{FF2B5EF4-FFF2-40B4-BE49-F238E27FC236}">
                <a16:creationId xmlns:a16="http://schemas.microsoft.com/office/drawing/2014/main" id="{43A92CA5-F092-B060-CC8D-ED366AC9340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7">
            <a:extLst>
              <a:ext uri="{FF2B5EF4-FFF2-40B4-BE49-F238E27FC236}">
                <a16:creationId xmlns:a16="http://schemas.microsoft.com/office/drawing/2014/main" id="{756AD013-958C-79D9-4B17-7F0A2744C1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165653</xdr:colOff>
      <xdr:row>27</xdr:row>
      <xdr:rowOff>33131</xdr:rowOff>
    </xdr:from>
    <xdr:to>
      <xdr:col>13</xdr:col>
      <xdr:colOff>34706</xdr:colOff>
      <xdr:row>27</xdr:row>
      <xdr:rowOff>124532</xdr:rowOff>
    </xdr:to>
    <xdr:grpSp>
      <xdr:nvGrpSpPr>
        <xdr:cNvPr id="266" name="Group 134">
          <a:extLst>
            <a:ext uri="{FF2B5EF4-FFF2-40B4-BE49-F238E27FC236}">
              <a16:creationId xmlns:a16="http://schemas.microsoft.com/office/drawing/2014/main" id="{9C4FC4B9-8B79-44CF-95A6-673E360E17DB}"/>
            </a:ext>
          </a:extLst>
        </xdr:cNvPr>
        <xdr:cNvGrpSpPr/>
      </xdr:nvGrpSpPr>
      <xdr:grpSpPr>
        <a:xfrm>
          <a:off x="4290392" y="4108174"/>
          <a:ext cx="250053" cy="9140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67" name="Isosceles Triangle 118">
            <a:extLst>
              <a:ext uri="{FF2B5EF4-FFF2-40B4-BE49-F238E27FC236}">
                <a16:creationId xmlns:a16="http://schemas.microsoft.com/office/drawing/2014/main" id="{62A2B26E-C686-AD95-B2BA-F1681FB30CE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8" name="Isosceles Triangle 119">
            <a:extLst>
              <a:ext uri="{FF2B5EF4-FFF2-40B4-BE49-F238E27FC236}">
                <a16:creationId xmlns:a16="http://schemas.microsoft.com/office/drawing/2014/main" id="{E5B40361-2D5B-A293-164F-069565CA09B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9" name="Isosceles Triangle 120">
            <a:extLst>
              <a:ext uri="{FF2B5EF4-FFF2-40B4-BE49-F238E27FC236}">
                <a16:creationId xmlns:a16="http://schemas.microsoft.com/office/drawing/2014/main" id="{CE09682D-CB43-4163-C443-3D64F0546F2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314740</xdr:colOff>
      <xdr:row>27</xdr:row>
      <xdr:rowOff>82826</xdr:rowOff>
    </xdr:from>
    <xdr:to>
      <xdr:col>13</xdr:col>
      <xdr:colOff>334150</xdr:colOff>
      <xdr:row>28</xdr:row>
      <xdr:rowOff>136767</xdr:rowOff>
    </xdr:to>
    <xdr:sp macro="" textlink="">
      <xdr:nvSpPr>
        <xdr:cNvPr id="270" name="TextBox 160">
          <a:extLst>
            <a:ext uri="{FF2B5EF4-FFF2-40B4-BE49-F238E27FC236}">
              <a16:creationId xmlns:a16="http://schemas.microsoft.com/office/drawing/2014/main" id="{29AF20C0-710B-4C37-BFCC-7952124F258F}"/>
            </a:ext>
          </a:extLst>
        </xdr:cNvPr>
        <xdr:cNvSpPr txBox="1"/>
      </xdr:nvSpPr>
      <xdr:spPr>
        <a:xfrm>
          <a:off x="4058479" y="4157869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10</a:t>
          </a:r>
          <a:r>
            <a:rPr lang="xx-YY" sz="800" baseline="0">
              <a:solidFill>
                <a:srgbClr val="FF0000"/>
              </a:solidFill>
              <a:effectLst/>
            </a:rPr>
            <a:t>0 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24851</xdr:colOff>
      <xdr:row>16</xdr:row>
      <xdr:rowOff>107673</xdr:rowOff>
    </xdr:from>
    <xdr:to>
      <xdr:col>14</xdr:col>
      <xdr:colOff>173938</xdr:colOff>
      <xdr:row>27</xdr:row>
      <xdr:rowOff>140804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D95F7B77-49BF-46CF-9EB9-0434223FD6BF}"/>
            </a:ext>
          </a:extLst>
        </xdr:cNvPr>
        <xdr:cNvSpPr txBox="1"/>
      </xdr:nvSpPr>
      <xdr:spPr>
        <a:xfrm rot="16200000">
          <a:off x="4149590" y="3304760"/>
          <a:ext cx="1673087" cy="14908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380999</xdr:colOff>
      <xdr:row>17</xdr:row>
      <xdr:rowOff>24848</xdr:rowOff>
    </xdr:from>
    <xdr:to>
      <xdr:col>14</xdr:col>
      <xdr:colOff>175550</xdr:colOff>
      <xdr:row>18</xdr:row>
      <xdr:rowOff>18180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806A6346-FC2C-4ACC-B7B5-AE18595EBC5D}"/>
            </a:ext>
          </a:extLst>
        </xdr:cNvPr>
        <xdr:cNvSpPr txBox="1"/>
      </xdr:nvSpPr>
      <xdr:spPr>
        <a:xfrm>
          <a:off x="3743738" y="2609022"/>
          <a:ext cx="1318551" cy="14241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13</xdr:col>
      <xdr:colOff>215348</xdr:colOff>
      <xdr:row>18</xdr:row>
      <xdr:rowOff>74543</xdr:rowOff>
    </xdr:from>
    <xdr:to>
      <xdr:col>13</xdr:col>
      <xdr:colOff>362355</xdr:colOff>
      <xdr:row>19</xdr:row>
      <xdr:rowOff>63317</xdr:rowOff>
    </xdr:to>
    <xdr:grpSp>
      <xdr:nvGrpSpPr>
        <xdr:cNvPr id="199" name="Group 13">
          <a:extLst>
            <a:ext uri="{FF2B5EF4-FFF2-40B4-BE49-F238E27FC236}">
              <a16:creationId xmlns:a16="http://schemas.microsoft.com/office/drawing/2014/main" id="{DD8198B2-CDA3-4B9B-8D3C-02D028874802}"/>
            </a:ext>
          </a:extLst>
        </xdr:cNvPr>
        <xdr:cNvGrpSpPr/>
      </xdr:nvGrpSpPr>
      <xdr:grpSpPr>
        <a:xfrm>
          <a:off x="4721087" y="2807804"/>
          <a:ext cx="147007" cy="137861"/>
          <a:chOff x="9937028" y="802652"/>
          <a:chExt cx="83991" cy="77961"/>
        </a:xfrm>
      </xdr:grpSpPr>
      <xdr:sp macro="" textlink="">
        <xdr:nvSpPr>
          <xdr:cNvPr id="200" name="Oval 1">
            <a:extLst>
              <a:ext uri="{FF2B5EF4-FFF2-40B4-BE49-F238E27FC236}">
                <a16:creationId xmlns:a16="http://schemas.microsoft.com/office/drawing/2014/main" id="{0B720E20-2017-9A14-87AF-4A1F3E7FB75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3" name="Straight Connector 3">
            <a:extLst>
              <a:ext uri="{FF2B5EF4-FFF2-40B4-BE49-F238E27FC236}">
                <a16:creationId xmlns:a16="http://schemas.microsoft.com/office/drawing/2014/main" id="{D7708AE7-528D-05DE-80F2-DEB5F27BB1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7">
            <a:extLst>
              <a:ext uri="{FF2B5EF4-FFF2-40B4-BE49-F238E27FC236}">
                <a16:creationId xmlns:a16="http://schemas.microsoft.com/office/drawing/2014/main" id="{152395E6-F720-2939-172B-BCDDB11A69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380999</xdr:colOff>
      <xdr:row>17</xdr:row>
      <xdr:rowOff>0</xdr:rowOff>
    </xdr:from>
    <xdr:to>
      <xdr:col>15</xdr:col>
      <xdr:colOff>147006</xdr:colOff>
      <xdr:row>17</xdr:row>
      <xdr:rowOff>137861</xdr:rowOff>
    </xdr:to>
    <xdr:grpSp>
      <xdr:nvGrpSpPr>
        <xdr:cNvPr id="205" name="Group 13">
          <a:extLst>
            <a:ext uri="{FF2B5EF4-FFF2-40B4-BE49-F238E27FC236}">
              <a16:creationId xmlns:a16="http://schemas.microsoft.com/office/drawing/2014/main" id="{424E2FC7-D306-4D62-94C0-C4A6B39396C1}"/>
            </a:ext>
          </a:extLst>
        </xdr:cNvPr>
        <xdr:cNvGrpSpPr/>
      </xdr:nvGrpSpPr>
      <xdr:grpSpPr>
        <a:xfrm>
          <a:off x="5267738" y="2584174"/>
          <a:ext cx="147007" cy="137861"/>
          <a:chOff x="9937028" y="802652"/>
          <a:chExt cx="83991" cy="77961"/>
        </a:xfrm>
      </xdr:grpSpPr>
      <xdr:sp macro="" textlink="">
        <xdr:nvSpPr>
          <xdr:cNvPr id="207" name="Oval 1">
            <a:extLst>
              <a:ext uri="{FF2B5EF4-FFF2-40B4-BE49-F238E27FC236}">
                <a16:creationId xmlns:a16="http://schemas.microsoft.com/office/drawing/2014/main" id="{17044448-45B9-F157-F154-3640A064BC8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8" name="Straight Connector 3">
            <a:extLst>
              <a:ext uri="{FF2B5EF4-FFF2-40B4-BE49-F238E27FC236}">
                <a16:creationId xmlns:a16="http://schemas.microsoft.com/office/drawing/2014/main" id="{BCBC7380-448B-827C-A81B-BDAAE7C9F20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7">
            <a:extLst>
              <a:ext uri="{FF2B5EF4-FFF2-40B4-BE49-F238E27FC236}">
                <a16:creationId xmlns:a16="http://schemas.microsoft.com/office/drawing/2014/main" id="{E136187B-E918-D716-51F2-4B57A45EA80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149088</xdr:colOff>
      <xdr:row>17</xdr:row>
      <xdr:rowOff>102540</xdr:rowOff>
    </xdr:from>
    <xdr:to>
      <xdr:col>15</xdr:col>
      <xdr:colOff>331305</xdr:colOff>
      <xdr:row>17</xdr:row>
      <xdr:rowOff>107674</xdr:rowOff>
    </xdr:to>
    <xdr:cxnSp macro="">
      <xdr:nvCxnSpPr>
        <xdr:cNvPr id="210" name="Straight Arrow Connector 166">
          <a:extLst>
            <a:ext uri="{FF2B5EF4-FFF2-40B4-BE49-F238E27FC236}">
              <a16:creationId xmlns:a16="http://schemas.microsoft.com/office/drawing/2014/main" id="{A2BAC6CE-E818-4D73-995D-02373FC9CB3A}"/>
            </a:ext>
          </a:extLst>
        </xdr:cNvPr>
        <xdr:cNvCxnSpPr>
          <a:cxnSpLocks/>
        </xdr:cNvCxnSpPr>
      </xdr:nvCxnSpPr>
      <xdr:spPr>
        <a:xfrm>
          <a:off x="5416827" y="2686714"/>
          <a:ext cx="182217" cy="513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323021</xdr:colOff>
      <xdr:row>17</xdr:row>
      <xdr:rowOff>8283</xdr:rowOff>
    </xdr:from>
    <xdr:to>
      <xdr:col>15</xdr:col>
      <xdr:colOff>82826</xdr:colOff>
      <xdr:row>18</xdr:row>
      <xdr:rowOff>91108</xdr:rowOff>
    </xdr:to>
    <xdr:cxnSp macro="">
      <xdr:nvCxnSpPr>
        <xdr:cNvPr id="239" name="Straight Connector 238">
          <a:extLst>
            <a:ext uri="{FF2B5EF4-FFF2-40B4-BE49-F238E27FC236}">
              <a16:creationId xmlns:a16="http://schemas.microsoft.com/office/drawing/2014/main" id="{423BCCF0-BF15-4126-9F86-12D6838ECBEE}"/>
            </a:ext>
          </a:extLst>
        </xdr:cNvPr>
        <xdr:cNvCxnSpPr>
          <a:cxnSpLocks/>
        </xdr:cNvCxnSpPr>
      </xdr:nvCxnSpPr>
      <xdr:spPr bwMode="auto">
        <a:xfrm flipV="1">
          <a:off x="4828760" y="2592457"/>
          <a:ext cx="521805" cy="23191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182217</xdr:colOff>
      <xdr:row>20</xdr:row>
      <xdr:rowOff>41412</xdr:rowOff>
    </xdr:from>
    <xdr:to>
      <xdr:col>13</xdr:col>
      <xdr:colOff>245662</xdr:colOff>
      <xdr:row>21</xdr:row>
      <xdr:rowOff>31460</xdr:rowOff>
    </xdr:to>
    <xdr:grpSp>
      <xdr:nvGrpSpPr>
        <xdr:cNvPr id="248" name="Grup 239">
          <a:extLst>
            <a:ext uri="{FF2B5EF4-FFF2-40B4-BE49-F238E27FC236}">
              <a16:creationId xmlns:a16="http://schemas.microsoft.com/office/drawing/2014/main" id="{3B3EBE3E-8274-4B50-AC88-925B421DC8C0}"/>
            </a:ext>
          </a:extLst>
        </xdr:cNvPr>
        <xdr:cNvGrpSpPr/>
      </xdr:nvGrpSpPr>
      <xdr:grpSpPr>
        <a:xfrm rot="16200000">
          <a:off x="4650111" y="3110692"/>
          <a:ext cx="139135" cy="63445"/>
          <a:chOff x="13302191" y="2320613"/>
          <a:chExt cx="139135" cy="57233"/>
        </a:xfrm>
      </xdr:grpSpPr>
      <xdr:cxnSp macro="">
        <xdr:nvCxnSpPr>
          <xdr:cNvPr id="250" name="Straight Connector 81">
            <a:extLst>
              <a:ext uri="{FF2B5EF4-FFF2-40B4-BE49-F238E27FC236}">
                <a16:creationId xmlns:a16="http://schemas.microsoft.com/office/drawing/2014/main" id="{2261ECE3-2239-AD7B-9DFE-5C26CB22C4F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82">
            <a:extLst>
              <a:ext uri="{FF2B5EF4-FFF2-40B4-BE49-F238E27FC236}">
                <a16:creationId xmlns:a16="http://schemas.microsoft.com/office/drawing/2014/main" id="{0C15F2D4-67BB-7DC9-23BF-148711F53EC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83">
            <a:extLst>
              <a:ext uri="{FF2B5EF4-FFF2-40B4-BE49-F238E27FC236}">
                <a16:creationId xmlns:a16="http://schemas.microsoft.com/office/drawing/2014/main" id="{43BEBCAE-3213-72BE-BD84-2DED12038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84">
            <a:extLst>
              <a:ext uri="{FF2B5EF4-FFF2-40B4-BE49-F238E27FC236}">
                <a16:creationId xmlns:a16="http://schemas.microsoft.com/office/drawing/2014/main" id="{340572D5-7930-D4A8-CAB1-25FBAE6348B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185532</xdr:colOff>
      <xdr:row>23</xdr:row>
      <xdr:rowOff>127553</xdr:rowOff>
    </xdr:from>
    <xdr:to>
      <xdr:col>13</xdr:col>
      <xdr:colOff>248977</xdr:colOff>
      <xdr:row>24</xdr:row>
      <xdr:rowOff>117601</xdr:rowOff>
    </xdr:to>
    <xdr:grpSp>
      <xdr:nvGrpSpPr>
        <xdr:cNvPr id="285" name="Grup 239">
          <a:extLst>
            <a:ext uri="{FF2B5EF4-FFF2-40B4-BE49-F238E27FC236}">
              <a16:creationId xmlns:a16="http://schemas.microsoft.com/office/drawing/2014/main" id="{5A88D711-F3C0-4BD6-9EEA-3B7A6533BD0B}"/>
            </a:ext>
          </a:extLst>
        </xdr:cNvPr>
        <xdr:cNvGrpSpPr/>
      </xdr:nvGrpSpPr>
      <xdr:grpSpPr>
        <a:xfrm rot="16200000">
          <a:off x="4653426" y="3644094"/>
          <a:ext cx="139135" cy="63445"/>
          <a:chOff x="13302191" y="2320613"/>
          <a:chExt cx="139135" cy="57233"/>
        </a:xfrm>
      </xdr:grpSpPr>
      <xdr:cxnSp macro="">
        <xdr:nvCxnSpPr>
          <xdr:cNvPr id="286" name="Straight Connector 81">
            <a:extLst>
              <a:ext uri="{FF2B5EF4-FFF2-40B4-BE49-F238E27FC236}">
                <a16:creationId xmlns:a16="http://schemas.microsoft.com/office/drawing/2014/main" id="{DFF06A41-A91F-A754-4185-E89532F32E3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82">
            <a:extLst>
              <a:ext uri="{FF2B5EF4-FFF2-40B4-BE49-F238E27FC236}">
                <a16:creationId xmlns:a16="http://schemas.microsoft.com/office/drawing/2014/main" id="{551C016E-8C40-8E6E-4ACA-6076E2B8ECB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83">
            <a:extLst>
              <a:ext uri="{FF2B5EF4-FFF2-40B4-BE49-F238E27FC236}">
                <a16:creationId xmlns:a16="http://schemas.microsoft.com/office/drawing/2014/main" id="{2D79E3D4-EEF7-42B1-DF07-95FB3863C23C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84">
            <a:extLst>
              <a:ext uri="{FF2B5EF4-FFF2-40B4-BE49-F238E27FC236}">
                <a16:creationId xmlns:a16="http://schemas.microsoft.com/office/drawing/2014/main" id="{E86979D5-D57F-D6C3-F67A-F3506800834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139148</xdr:colOff>
      <xdr:row>17</xdr:row>
      <xdr:rowOff>81172</xdr:rowOff>
    </xdr:from>
    <xdr:to>
      <xdr:col>14</xdr:col>
      <xdr:colOff>202593</xdr:colOff>
      <xdr:row>18</xdr:row>
      <xdr:rowOff>71220</xdr:rowOff>
    </xdr:to>
    <xdr:grpSp>
      <xdr:nvGrpSpPr>
        <xdr:cNvPr id="290" name="Grup 239">
          <a:extLst>
            <a:ext uri="{FF2B5EF4-FFF2-40B4-BE49-F238E27FC236}">
              <a16:creationId xmlns:a16="http://schemas.microsoft.com/office/drawing/2014/main" id="{54032C31-E8A8-46FA-BEC7-47EEBB928F07}"/>
            </a:ext>
          </a:extLst>
        </xdr:cNvPr>
        <xdr:cNvGrpSpPr/>
      </xdr:nvGrpSpPr>
      <xdr:grpSpPr>
        <a:xfrm rot="18186758">
          <a:off x="4988042" y="2703191"/>
          <a:ext cx="139135" cy="63445"/>
          <a:chOff x="13302191" y="2320613"/>
          <a:chExt cx="139135" cy="57233"/>
        </a:xfrm>
      </xdr:grpSpPr>
      <xdr:cxnSp macro="">
        <xdr:nvCxnSpPr>
          <xdr:cNvPr id="291" name="Straight Connector 81">
            <a:extLst>
              <a:ext uri="{FF2B5EF4-FFF2-40B4-BE49-F238E27FC236}">
                <a16:creationId xmlns:a16="http://schemas.microsoft.com/office/drawing/2014/main" id="{38483E9C-E298-891A-869D-1FC6B80572D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82">
            <a:extLst>
              <a:ext uri="{FF2B5EF4-FFF2-40B4-BE49-F238E27FC236}">
                <a16:creationId xmlns:a16="http://schemas.microsoft.com/office/drawing/2014/main" id="{A1757425-3284-315E-22E9-D903256122F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Straight Connector 83">
            <a:extLst>
              <a:ext uri="{FF2B5EF4-FFF2-40B4-BE49-F238E27FC236}">
                <a16:creationId xmlns:a16="http://schemas.microsoft.com/office/drawing/2014/main" id="{211527CD-7766-D3F3-8ED5-F74FA843836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Connector 84">
            <a:extLst>
              <a:ext uri="{FF2B5EF4-FFF2-40B4-BE49-F238E27FC236}">
                <a16:creationId xmlns:a16="http://schemas.microsoft.com/office/drawing/2014/main" id="{C7A0E2B9-3DE1-8534-A602-7494BB7FFDD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41413</xdr:colOff>
      <xdr:row>26</xdr:row>
      <xdr:rowOff>74543</xdr:rowOff>
    </xdr:from>
    <xdr:to>
      <xdr:col>16</xdr:col>
      <xdr:colOff>231913</xdr:colOff>
      <xdr:row>26</xdr:row>
      <xdr:rowOff>82825</xdr:rowOff>
    </xdr:to>
    <xdr:cxnSp macro="">
      <xdr:nvCxnSpPr>
        <xdr:cNvPr id="295" name="Straight Connector 148">
          <a:extLst>
            <a:ext uri="{FF2B5EF4-FFF2-40B4-BE49-F238E27FC236}">
              <a16:creationId xmlns:a16="http://schemas.microsoft.com/office/drawing/2014/main" id="{4C6E03A8-2CBF-469E-B461-C6D8065DC4A6}"/>
            </a:ext>
          </a:extLst>
        </xdr:cNvPr>
        <xdr:cNvCxnSpPr>
          <a:cxnSpLocks/>
        </xdr:cNvCxnSpPr>
      </xdr:nvCxnSpPr>
      <xdr:spPr bwMode="auto">
        <a:xfrm>
          <a:off x="4166152" y="4000500"/>
          <a:ext cx="1714500" cy="828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132522</xdr:colOff>
      <xdr:row>21</xdr:row>
      <xdr:rowOff>66260</xdr:rowOff>
    </xdr:from>
    <xdr:to>
      <xdr:col>13</xdr:col>
      <xdr:colOff>49696</xdr:colOff>
      <xdr:row>23</xdr:row>
      <xdr:rowOff>66260</xdr:rowOff>
    </xdr:to>
    <xdr:sp macro="" textlink="">
      <xdr:nvSpPr>
        <xdr:cNvPr id="298" name="TextBox 157">
          <a:extLst>
            <a:ext uri="{FF2B5EF4-FFF2-40B4-BE49-F238E27FC236}">
              <a16:creationId xmlns:a16="http://schemas.microsoft.com/office/drawing/2014/main" id="{F119FFE3-FBE0-4375-AB36-9BD8A35D8A97}"/>
            </a:ext>
          </a:extLst>
        </xdr:cNvPr>
        <xdr:cNvSpPr txBox="1"/>
      </xdr:nvSpPr>
      <xdr:spPr>
        <a:xfrm>
          <a:off x="3876261" y="3246782"/>
          <a:ext cx="679174" cy="2981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215347</xdr:colOff>
      <xdr:row>12</xdr:row>
      <xdr:rowOff>49694</xdr:rowOff>
    </xdr:from>
    <xdr:to>
      <xdr:col>15</xdr:col>
      <xdr:colOff>132521</xdr:colOff>
      <xdr:row>16</xdr:row>
      <xdr:rowOff>99390</xdr:rowOff>
    </xdr:to>
    <xdr:sp macro="" textlink="">
      <xdr:nvSpPr>
        <xdr:cNvPr id="299" name="TextBox 157">
          <a:extLst>
            <a:ext uri="{FF2B5EF4-FFF2-40B4-BE49-F238E27FC236}">
              <a16:creationId xmlns:a16="http://schemas.microsoft.com/office/drawing/2014/main" id="{563F10FB-F16A-4E25-873B-BE4F1CB3205F}"/>
            </a:ext>
          </a:extLst>
        </xdr:cNvPr>
        <xdr:cNvSpPr txBox="1"/>
      </xdr:nvSpPr>
      <xdr:spPr>
        <a:xfrm>
          <a:off x="4721086" y="1871868"/>
          <a:ext cx="679174" cy="66260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7584</xdr:colOff>
      <xdr:row>21</xdr:row>
      <xdr:rowOff>116656</xdr:rowOff>
    </xdr:from>
    <xdr:to>
      <xdr:col>13</xdr:col>
      <xdr:colOff>210612</xdr:colOff>
      <xdr:row>27</xdr:row>
      <xdr:rowOff>3545</xdr:rowOff>
    </xdr:to>
    <xdr:sp macro="" textlink="">
      <xdr:nvSpPr>
        <xdr:cNvPr id="300" name="TextBox 160">
          <a:extLst>
            <a:ext uri="{FF2B5EF4-FFF2-40B4-BE49-F238E27FC236}">
              <a16:creationId xmlns:a16="http://schemas.microsoft.com/office/drawing/2014/main" id="{4B716D35-0013-46E7-B327-46FFA88711D8}"/>
            </a:ext>
          </a:extLst>
        </xdr:cNvPr>
        <xdr:cNvSpPr txBox="1"/>
      </xdr:nvSpPr>
      <xdr:spPr>
        <a:xfrm rot="16200000">
          <a:off x="4224132" y="3586369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7584</xdr:colOff>
      <xdr:row>17</xdr:row>
      <xdr:rowOff>133223</xdr:rowOff>
    </xdr:from>
    <xdr:to>
      <xdr:col>13</xdr:col>
      <xdr:colOff>210612</xdr:colOff>
      <xdr:row>23</xdr:row>
      <xdr:rowOff>20111</xdr:rowOff>
    </xdr:to>
    <xdr:sp macro="" textlink="">
      <xdr:nvSpPr>
        <xdr:cNvPr id="301" name="TextBox 160">
          <a:extLst>
            <a:ext uri="{FF2B5EF4-FFF2-40B4-BE49-F238E27FC236}">
              <a16:creationId xmlns:a16="http://schemas.microsoft.com/office/drawing/2014/main" id="{7BDE9449-2C34-47C0-87E1-ED9CA087DE49}"/>
            </a:ext>
          </a:extLst>
        </xdr:cNvPr>
        <xdr:cNvSpPr txBox="1"/>
      </xdr:nvSpPr>
      <xdr:spPr>
        <a:xfrm rot="16200000">
          <a:off x="4224132" y="3006588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16565</xdr:colOff>
      <xdr:row>14</xdr:row>
      <xdr:rowOff>124238</xdr:rowOff>
    </xdr:from>
    <xdr:to>
      <xdr:col>17</xdr:col>
      <xdr:colOff>35975</xdr:colOff>
      <xdr:row>16</xdr:row>
      <xdr:rowOff>29092</xdr:rowOff>
    </xdr:to>
    <xdr:sp macro="" textlink="">
      <xdr:nvSpPr>
        <xdr:cNvPr id="302" name="TextBox 160">
          <a:extLst>
            <a:ext uri="{FF2B5EF4-FFF2-40B4-BE49-F238E27FC236}">
              <a16:creationId xmlns:a16="http://schemas.microsoft.com/office/drawing/2014/main" id="{3106125F-5947-40BE-AD3E-58001EE5E2B5}"/>
            </a:ext>
          </a:extLst>
        </xdr:cNvPr>
        <xdr:cNvSpPr txBox="1"/>
      </xdr:nvSpPr>
      <xdr:spPr>
        <a:xfrm rot="20630030">
          <a:off x="5284304" y="2261151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223630</xdr:colOff>
      <xdr:row>25</xdr:row>
      <xdr:rowOff>132521</xdr:rowOff>
    </xdr:from>
    <xdr:to>
      <xdr:col>13</xdr:col>
      <xdr:colOff>370637</xdr:colOff>
      <xdr:row>26</xdr:row>
      <xdr:rowOff>121295</xdr:rowOff>
    </xdr:to>
    <xdr:grpSp>
      <xdr:nvGrpSpPr>
        <xdr:cNvPr id="303" name="Group 13">
          <a:extLst>
            <a:ext uri="{FF2B5EF4-FFF2-40B4-BE49-F238E27FC236}">
              <a16:creationId xmlns:a16="http://schemas.microsoft.com/office/drawing/2014/main" id="{93CF91B4-FE2C-4583-8275-A4EBB095B5C9}"/>
            </a:ext>
          </a:extLst>
        </xdr:cNvPr>
        <xdr:cNvGrpSpPr/>
      </xdr:nvGrpSpPr>
      <xdr:grpSpPr>
        <a:xfrm>
          <a:off x="4729369" y="3909391"/>
          <a:ext cx="147007" cy="137861"/>
          <a:chOff x="9937028" y="802652"/>
          <a:chExt cx="83991" cy="77961"/>
        </a:xfrm>
      </xdr:grpSpPr>
      <xdr:sp macro="" textlink="">
        <xdr:nvSpPr>
          <xdr:cNvPr id="304" name="Oval 1">
            <a:extLst>
              <a:ext uri="{FF2B5EF4-FFF2-40B4-BE49-F238E27FC236}">
                <a16:creationId xmlns:a16="http://schemas.microsoft.com/office/drawing/2014/main" id="{CCB162CD-1B3B-4278-838E-C3FBBE063AF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5" name="Straight Connector 3">
            <a:extLst>
              <a:ext uri="{FF2B5EF4-FFF2-40B4-BE49-F238E27FC236}">
                <a16:creationId xmlns:a16="http://schemas.microsoft.com/office/drawing/2014/main" id="{0A61BE3D-F25C-AB2B-19E5-577F2CA1DBD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Connector 7">
            <a:extLst>
              <a:ext uri="{FF2B5EF4-FFF2-40B4-BE49-F238E27FC236}">
                <a16:creationId xmlns:a16="http://schemas.microsoft.com/office/drawing/2014/main" id="{9B8D555E-7640-D3D0-DD57-7542341D6F0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66261</xdr:colOff>
      <xdr:row>15</xdr:row>
      <xdr:rowOff>132522</xdr:rowOff>
    </xdr:from>
    <xdr:to>
      <xdr:col>17</xdr:col>
      <xdr:colOff>33131</xdr:colOff>
      <xdr:row>17</xdr:row>
      <xdr:rowOff>8283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BFE4A4C7-82E4-49A9-96D1-98A261445951}"/>
            </a:ext>
          </a:extLst>
        </xdr:cNvPr>
        <xdr:cNvCxnSpPr>
          <a:cxnSpLocks/>
        </xdr:cNvCxnSpPr>
      </xdr:nvCxnSpPr>
      <xdr:spPr bwMode="auto">
        <a:xfrm flipV="1">
          <a:off x="5334000" y="2418522"/>
          <a:ext cx="728870" cy="1739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359720</xdr:colOff>
      <xdr:row>16</xdr:row>
      <xdr:rowOff>46127</xdr:rowOff>
    </xdr:from>
    <xdr:to>
      <xdr:col>16</xdr:col>
      <xdr:colOff>117855</xdr:colOff>
      <xdr:row>16</xdr:row>
      <xdr:rowOff>109572</xdr:rowOff>
    </xdr:to>
    <xdr:grpSp>
      <xdr:nvGrpSpPr>
        <xdr:cNvPr id="313" name="Grup 239">
          <a:extLst>
            <a:ext uri="{FF2B5EF4-FFF2-40B4-BE49-F238E27FC236}">
              <a16:creationId xmlns:a16="http://schemas.microsoft.com/office/drawing/2014/main" id="{55FCCD36-84F0-4E2E-89A8-675C07BAD5A8}"/>
            </a:ext>
          </a:extLst>
        </xdr:cNvPr>
        <xdr:cNvGrpSpPr/>
      </xdr:nvGrpSpPr>
      <xdr:grpSpPr>
        <a:xfrm rot="18979120">
          <a:off x="5627459" y="2481214"/>
          <a:ext cx="139135" cy="63445"/>
          <a:chOff x="13302191" y="2320613"/>
          <a:chExt cx="139135" cy="57233"/>
        </a:xfrm>
      </xdr:grpSpPr>
      <xdr:cxnSp macro="">
        <xdr:nvCxnSpPr>
          <xdr:cNvPr id="314" name="Straight Connector 81">
            <a:extLst>
              <a:ext uri="{FF2B5EF4-FFF2-40B4-BE49-F238E27FC236}">
                <a16:creationId xmlns:a16="http://schemas.microsoft.com/office/drawing/2014/main" id="{74F4BBEB-762D-AF60-3FFF-74C06287FE3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82">
            <a:extLst>
              <a:ext uri="{FF2B5EF4-FFF2-40B4-BE49-F238E27FC236}">
                <a16:creationId xmlns:a16="http://schemas.microsoft.com/office/drawing/2014/main" id="{C36EBA48-9B3B-C5EC-0F17-AFEE7A21C40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83">
            <a:extLst>
              <a:ext uri="{FF2B5EF4-FFF2-40B4-BE49-F238E27FC236}">
                <a16:creationId xmlns:a16="http://schemas.microsoft.com/office/drawing/2014/main" id="{80C5DF76-3DC9-D047-256B-C437F1539F5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Straight Connector 84">
            <a:extLst>
              <a:ext uri="{FF2B5EF4-FFF2-40B4-BE49-F238E27FC236}">
                <a16:creationId xmlns:a16="http://schemas.microsoft.com/office/drawing/2014/main" id="{FD792561-80D1-A7A8-5D3E-73C13F29CE4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273326</xdr:colOff>
      <xdr:row>25</xdr:row>
      <xdr:rowOff>132521</xdr:rowOff>
    </xdr:from>
    <xdr:to>
      <xdr:col>13</xdr:col>
      <xdr:colOff>297134</xdr:colOff>
      <xdr:row>25</xdr:row>
      <xdr:rowOff>138134</xdr:rowOff>
    </xdr:to>
    <xdr:cxnSp macro="">
      <xdr:nvCxnSpPr>
        <xdr:cNvPr id="318" name="Straight Connector 317">
          <a:extLst>
            <a:ext uri="{FF2B5EF4-FFF2-40B4-BE49-F238E27FC236}">
              <a16:creationId xmlns:a16="http://schemas.microsoft.com/office/drawing/2014/main" id="{D48D2920-7CD8-4B1E-911B-675399C13DBB}"/>
            </a:ext>
          </a:extLst>
        </xdr:cNvPr>
        <xdr:cNvCxnSpPr>
          <a:cxnSpLocks/>
          <a:endCxn id="304" idx="0"/>
        </xdr:cNvCxnSpPr>
      </xdr:nvCxnSpPr>
      <xdr:spPr bwMode="auto">
        <a:xfrm flipV="1">
          <a:off x="4398065" y="3909391"/>
          <a:ext cx="404808" cy="561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49696</xdr:colOff>
      <xdr:row>25</xdr:row>
      <xdr:rowOff>99392</xdr:rowOff>
    </xdr:from>
    <xdr:to>
      <xdr:col>13</xdr:col>
      <xdr:colOff>188831</xdr:colOff>
      <xdr:row>26</xdr:row>
      <xdr:rowOff>13750</xdr:rowOff>
    </xdr:to>
    <xdr:grpSp>
      <xdr:nvGrpSpPr>
        <xdr:cNvPr id="320" name="Grup 239">
          <a:extLst>
            <a:ext uri="{FF2B5EF4-FFF2-40B4-BE49-F238E27FC236}">
              <a16:creationId xmlns:a16="http://schemas.microsoft.com/office/drawing/2014/main" id="{3324F850-F3C0-4943-B1DF-81D91AB0DD3A}"/>
            </a:ext>
          </a:extLst>
        </xdr:cNvPr>
        <xdr:cNvGrpSpPr/>
      </xdr:nvGrpSpPr>
      <xdr:grpSpPr>
        <a:xfrm rot="21316976">
          <a:off x="4555435" y="3876262"/>
          <a:ext cx="139135" cy="63445"/>
          <a:chOff x="13302191" y="2320613"/>
          <a:chExt cx="139135" cy="57233"/>
        </a:xfrm>
      </xdr:grpSpPr>
      <xdr:cxnSp macro="">
        <xdr:nvCxnSpPr>
          <xdr:cNvPr id="321" name="Straight Connector 81">
            <a:extLst>
              <a:ext uri="{FF2B5EF4-FFF2-40B4-BE49-F238E27FC236}">
                <a16:creationId xmlns:a16="http://schemas.microsoft.com/office/drawing/2014/main" id="{FB7AD148-E87D-E7C2-1672-B71C44BABF9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82">
            <a:extLst>
              <a:ext uri="{FF2B5EF4-FFF2-40B4-BE49-F238E27FC236}">
                <a16:creationId xmlns:a16="http://schemas.microsoft.com/office/drawing/2014/main" id="{A5A250C3-8994-60EA-FEC5-BC66ED1AD72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83">
            <a:extLst>
              <a:ext uri="{FF2B5EF4-FFF2-40B4-BE49-F238E27FC236}">
                <a16:creationId xmlns:a16="http://schemas.microsoft.com/office/drawing/2014/main" id="{962B2219-4ABF-A6A2-33C2-54C2F518317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84">
            <a:extLst>
              <a:ext uri="{FF2B5EF4-FFF2-40B4-BE49-F238E27FC236}">
                <a16:creationId xmlns:a16="http://schemas.microsoft.com/office/drawing/2014/main" id="{7098106E-A2AD-81DB-610D-744925F2B07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165651</xdr:colOff>
      <xdr:row>27</xdr:row>
      <xdr:rowOff>24849</xdr:rowOff>
    </xdr:from>
    <xdr:to>
      <xdr:col>15</xdr:col>
      <xdr:colOff>82825</xdr:colOff>
      <xdr:row>29</xdr:row>
      <xdr:rowOff>24849</xdr:rowOff>
    </xdr:to>
    <xdr:sp macro="" textlink="">
      <xdr:nvSpPr>
        <xdr:cNvPr id="325" name="TextBox 157">
          <a:extLst>
            <a:ext uri="{FF2B5EF4-FFF2-40B4-BE49-F238E27FC236}">
              <a16:creationId xmlns:a16="http://schemas.microsoft.com/office/drawing/2014/main" id="{594F6754-4778-4CF3-B9D1-9AB181079C83}"/>
            </a:ext>
          </a:extLst>
        </xdr:cNvPr>
        <xdr:cNvSpPr txBox="1"/>
      </xdr:nvSpPr>
      <xdr:spPr>
        <a:xfrm>
          <a:off x="4671390" y="4099892"/>
          <a:ext cx="679174" cy="2981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298174</xdr:colOff>
      <xdr:row>24</xdr:row>
      <xdr:rowOff>91109</xdr:rowOff>
    </xdr:from>
    <xdr:to>
      <xdr:col>13</xdr:col>
      <xdr:colOff>317584</xdr:colOff>
      <xdr:row>25</xdr:row>
      <xdr:rowOff>145050</xdr:rowOff>
    </xdr:to>
    <xdr:sp macro="" textlink="">
      <xdr:nvSpPr>
        <xdr:cNvPr id="326" name="TextBox 160">
          <a:extLst>
            <a:ext uri="{FF2B5EF4-FFF2-40B4-BE49-F238E27FC236}">
              <a16:creationId xmlns:a16="http://schemas.microsoft.com/office/drawing/2014/main" id="{FE9A8D1F-CF3B-44E6-A506-7C1BCEFA5A40}"/>
            </a:ext>
          </a:extLst>
        </xdr:cNvPr>
        <xdr:cNvSpPr txBox="1"/>
      </xdr:nvSpPr>
      <xdr:spPr>
        <a:xfrm>
          <a:off x="4041913" y="3718892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57979</xdr:colOff>
      <xdr:row>18</xdr:row>
      <xdr:rowOff>110822</xdr:rowOff>
    </xdr:from>
    <xdr:to>
      <xdr:col>13</xdr:col>
      <xdr:colOff>240196</xdr:colOff>
      <xdr:row>18</xdr:row>
      <xdr:rowOff>115957</xdr:rowOff>
    </xdr:to>
    <xdr:cxnSp macro="">
      <xdr:nvCxnSpPr>
        <xdr:cNvPr id="327" name="Straight Arrow Connector 166">
          <a:extLst>
            <a:ext uri="{FF2B5EF4-FFF2-40B4-BE49-F238E27FC236}">
              <a16:creationId xmlns:a16="http://schemas.microsoft.com/office/drawing/2014/main" id="{73D4F793-B92A-4438-82E5-0F7890BE5EB1}"/>
            </a:ext>
          </a:extLst>
        </xdr:cNvPr>
        <xdr:cNvCxnSpPr>
          <a:cxnSpLocks/>
        </xdr:cNvCxnSpPr>
      </xdr:nvCxnSpPr>
      <xdr:spPr>
        <a:xfrm flipH="1">
          <a:off x="4563718" y="2844083"/>
          <a:ext cx="182217" cy="51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91109</xdr:colOff>
      <xdr:row>15</xdr:row>
      <xdr:rowOff>66261</xdr:rowOff>
    </xdr:from>
    <xdr:to>
      <xdr:col>13</xdr:col>
      <xdr:colOff>8283</xdr:colOff>
      <xdr:row>19</xdr:row>
      <xdr:rowOff>132522</xdr:rowOff>
    </xdr:to>
    <xdr:sp macro="" textlink="">
      <xdr:nvSpPr>
        <xdr:cNvPr id="329" name="TextBox 157">
          <a:extLst>
            <a:ext uri="{FF2B5EF4-FFF2-40B4-BE49-F238E27FC236}">
              <a16:creationId xmlns:a16="http://schemas.microsoft.com/office/drawing/2014/main" id="{FCD57693-15CE-4E7C-BA69-6CBFD6960DCB}"/>
            </a:ext>
          </a:extLst>
        </xdr:cNvPr>
        <xdr:cNvSpPr txBox="1"/>
      </xdr:nvSpPr>
      <xdr:spPr>
        <a:xfrm>
          <a:off x="3834848" y="2352261"/>
          <a:ext cx="679174" cy="66260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256762</xdr:colOff>
      <xdr:row>20</xdr:row>
      <xdr:rowOff>107673</xdr:rowOff>
    </xdr:from>
    <xdr:to>
      <xdr:col>18</xdr:col>
      <xdr:colOff>49697</xdr:colOff>
      <xdr:row>26</xdr:row>
      <xdr:rowOff>10146</xdr:rowOff>
    </xdr:to>
    <xdr:sp macro="" textlink="">
      <xdr:nvSpPr>
        <xdr:cNvPr id="118" name="TextBox 157">
          <a:extLst>
            <a:ext uri="{FF2B5EF4-FFF2-40B4-BE49-F238E27FC236}">
              <a16:creationId xmlns:a16="http://schemas.microsoft.com/office/drawing/2014/main" id="{1DD66899-ABF9-42F1-867D-9DC30BF63CD3}"/>
            </a:ext>
          </a:extLst>
        </xdr:cNvPr>
        <xdr:cNvSpPr txBox="1"/>
      </xdr:nvSpPr>
      <xdr:spPr>
        <a:xfrm>
          <a:off x="5524501" y="3139108"/>
          <a:ext cx="935935" cy="7969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PWI07-66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DC-C1-1H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100KVA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CM2-11M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340826</xdr:colOff>
      <xdr:row>19</xdr:row>
      <xdr:rowOff>43128</xdr:rowOff>
    </xdr:from>
    <xdr:to>
      <xdr:col>13</xdr:col>
      <xdr:colOff>357191</xdr:colOff>
      <xdr:row>26</xdr:row>
      <xdr:rowOff>2943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CCA34786-E82F-4836-8B88-838BBC9CFB36}"/>
            </a:ext>
          </a:extLst>
        </xdr:cNvPr>
        <xdr:cNvCxnSpPr>
          <a:cxnSpLocks/>
          <a:stCxn id="200" idx="5"/>
        </xdr:cNvCxnSpPr>
      </xdr:nvCxnSpPr>
      <xdr:spPr bwMode="auto">
        <a:xfrm>
          <a:off x="4846565" y="2925476"/>
          <a:ext cx="16365" cy="100342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231913</xdr:colOff>
      <xdr:row>24</xdr:row>
      <xdr:rowOff>99391</xdr:rowOff>
    </xdr:from>
    <xdr:to>
      <xdr:col>15</xdr:col>
      <xdr:colOff>251323</xdr:colOff>
      <xdr:row>26</xdr:row>
      <xdr:rowOff>4245</xdr:rowOff>
    </xdr:to>
    <xdr:sp macro="" textlink="">
      <xdr:nvSpPr>
        <xdr:cNvPr id="140" name="TextBox 160">
          <a:extLst>
            <a:ext uri="{FF2B5EF4-FFF2-40B4-BE49-F238E27FC236}">
              <a16:creationId xmlns:a16="http://schemas.microsoft.com/office/drawing/2014/main" id="{656CCCCE-2582-4A9C-B3D8-6DC4AA01D854}"/>
            </a:ext>
          </a:extLst>
        </xdr:cNvPr>
        <xdr:cNvSpPr txBox="1"/>
      </xdr:nvSpPr>
      <xdr:spPr>
        <a:xfrm>
          <a:off x="4737652" y="3727174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298175</xdr:colOff>
      <xdr:row>25</xdr:row>
      <xdr:rowOff>132522</xdr:rowOff>
    </xdr:from>
    <xdr:to>
      <xdr:col>15</xdr:col>
      <xdr:colOff>164612</xdr:colOff>
      <xdr:row>26</xdr:row>
      <xdr:rowOff>16564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1FCB57DF-12A7-472C-A31E-3BB1136D079B}"/>
            </a:ext>
          </a:extLst>
        </xdr:cNvPr>
        <xdr:cNvCxnSpPr>
          <a:cxnSpLocks/>
          <a:endCxn id="212" idx="0"/>
        </xdr:cNvCxnSpPr>
      </xdr:nvCxnSpPr>
      <xdr:spPr bwMode="auto">
        <a:xfrm>
          <a:off x="4803914" y="3909392"/>
          <a:ext cx="628437" cy="3312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323022</xdr:colOff>
      <xdr:row>27</xdr:row>
      <xdr:rowOff>74544</xdr:rowOff>
    </xdr:from>
    <xdr:to>
      <xdr:col>16</xdr:col>
      <xdr:colOff>342432</xdr:colOff>
      <xdr:row>28</xdr:row>
      <xdr:rowOff>128485</xdr:rowOff>
    </xdr:to>
    <xdr:sp macro="" textlink="">
      <xdr:nvSpPr>
        <xdr:cNvPr id="188" name="TextBox 160">
          <a:extLst>
            <a:ext uri="{FF2B5EF4-FFF2-40B4-BE49-F238E27FC236}">
              <a16:creationId xmlns:a16="http://schemas.microsoft.com/office/drawing/2014/main" id="{B932BEBA-D08F-4F0F-BC1E-93BB45F8D84E}"/>
            </a:ext>
          </a:extLst>
        </xdr:cNvPr>
        <xdr:cNvSpPr txBox="1"/>
      </xdr:nvSpPr>
      <xdr:spPr>
        <a:xfrm>
          <a:off x="5209761" y="4149587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10</a:t>
          </a:r>
          <a:r>
            <a:rPr lang="xx-YY" sz="800" baseline="0">
              <a:solidFill>
                <a:srgbClr val="FF0000"/>
              </a:solidFill>
              <a:effectLst/>
            </a:rPr>
            <a:t>0 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194069</xdr:colOff>
      <xdr:row>25</xdr:row>
      <xdr:rowOff>112389</xdr:rowOff>
    </xdr:from>
    <xdr:to>
      <xdr:col>14</xdr:col>
      <xdr:colOff>333204</xdr:colOff>
      <xdr:row>26</xdr:row>
      <xdr:rowOff>26747</xdr:rowOff>
    </xdr:to>
    <xdr:grpSp>
      <xdr:nvGrpSpPr>
        <xdr:cNvPr id="189" name="Grup 239">
          <a:extLst>
            <a:ext uri="{FF2B5EF4-FFF2-40B4-BE49-F238E27FC236}">
              <a16:creationId xmlns:a16="http://schemas.microsoft.com/office/drawing/2014/main" id="{52889B79-0AAF-423B-A887-3BC9D4353300}"/>
            </a:ext>
          </a:extLst>
        </xdr:cNvPr>
        <xdr:cNvGrpSpPr/>
      </xdr:nvGrpSpPr>
      <xdr:grpSpPr>
        <a:xfrm rot="328613">
          <a:off x="5080808" y="3889259"/>
          <a:ext cx="139135" cy="63445"/>
          <a:chOff x="13302191" y="2320613"/>
          <a:chExt cx="139135" cy="57233"/>
        </a:xfrm>
      </xdr:grpSpPr>
      <xdr:cxnSp macro="">
        <xdr:nvCxnSpPr>
          <xdr:cNvPr id="190" name="Straight Connector 81">
            <a:extLst>
              <a:ext uri="{FF2B5EF4-FFF2-40B4-BE49-F238E27FC236}">
                <a16:creationId xmlns:a16="http://schemas.microsoft.com/office/drawing/2014/main" id="{A11B4B4E-AA6B-38A4-FF48-6B057081AEC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82">
            <a:extLst>
              <a:ext uri="{FF2B5EF4-FFF2-40B4-BE49-F238E27FC236}">
                <a16:creationId xmlns:a16="http://schemas.microsoft.com/office/drawing/2014/main" id="{99985DC2-3933-B782-C7AA-17FB6EA97103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83">
            <a:extLst>
              <a:ext uri="{FF2B5EF4-FFF2-40B4-BE49-F238E27FC236}">
                <a16:creationId xmlns:a16="http://schemas.microsoft.com/office/drawing/2014/main" id="{68B7FCD6-DB62-19EB-1818-0E7B4DA03C6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84">
            <a:extLst>
              <a:ext uri="{FF2B5EF4-FFF2-40B4-BE49-F238E27FC236}">
                <a16:creationId xmlns:a16="http://schemas.microsoft.com/office/drawing/2014/main" id="{CF4D37F1-53BF-2208-14F5-D382633E445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314739</xdr:colOff>
      <xdr:row>24</xdr:row>
      <xdr:rowOff>0</xdr:rowOff>
    </xdr:from>
    <xdr:to>
      <xdr:col>13</xdr:col>
      <xdr:colOff>378184</xdr:colOff>
      <xdr:row>24</xdr:row>
      <xdr:rowOff>139135</xdr:rowOff>
    </xdr:to>
    <xdr:grpSp>
      <xdr:nvGrpSpPr>
        <xdr:cNvPr id="194" name="Grup 239">
          <a:extLst>
            <a:ext uri="{FF2B5EF4-FFF2-40B4-BE49-F238E27FC236}">
              <a16:creationId xmlns:a16="http://schemas.microsoft.com/office/drawing/2014/main" id="{D47D4897-EFE4-44CD-86E3-6A471EB1A77A}"/>
            </a:ext>
          </a:extLst>
        </xdr:cNvPr>
        <xdr:cNvGrpSpPr/>
      </xdr:nvGrpSpPr>
      <xdr:grpSpPr>
        <a:xfrm rot="15720045">
          <a:off x="4782633" y="3665628"/>
          <a:ext cx="139135" cy="63445"/>
          <a:chOff x="13302191" y="2320613"/>
          <a:chExt cx="139135" cy="57233"/>
        </a:xfrm>
      </xdr:grpSpPr>
      <xdr:cxnSp macro="">
        <xdr:nvCxnSpPr>
          <xdr:cNvPr id="195" name="Straight Connector 81">
            <a:extLst>
              <a:ext uri="{FF2B5EF4-FFF2-40B4-BE49-F238E27FC236}">
                <a16:creationId xmlns:a16="http://schemas.microsoft.com/office/drawing/2014/main" id="{4E03AAD8-32D3-F1CD-B6B0-4695A22696B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82">
            <a:extLst>
              <a:ext uri="{FF2B5EF4-FFF2-40B4-BE49-F238E27FC236}">
                <a16:creationId xmlns:a16="http://schemas.microsoft.com/office/drawing/2014/main" id="{EDC2F67C-0A35-2198-C553-D44A0CA8030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83">
            <a:extLst>
              <a:ext uri="{FF2B5EF4-FFF2-40B4-BE49-F238E27FC236}">
                <a16:creationId xmlns:a16="http://schemas.microsoft.com/office/drawing/2014/main" id="{B0ECB324-5C67-5976-9993-3E5B90C5E79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84">
            <a:extLst>
              <a:ext uri="{FF2B5EF4-FFF2-40B4-BE49-F238E27FC236}">
                <a16:creationId xmlns:a16="http://schemas.microsoft.com/office/drawing/2014/main" id="{B1D7A4F4-9699-4B8E-D3F3-5FCBEEC1C49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323021</xdr:colOff>
      <xdr:row>20</xdr:row>
      <xdr:rowOff>49697</xdr:rowOff>
    </xdr:from>
    <xdr:to>
      <xdr:col>14</xdr:col>
      <xdr:colOff>5466</xdr:colOff>
      <xdr:row>21</xdr:row>
      <xdr:rowOff>39745</xdr:rowOff>
    </xdr:to>
    <xdr:grpSp>
      <xdr:nvGrpSpPr>
        <xdr:cNvPr id="216" name="Grup 239">
          <a:extLst>
            <a:ext uri="{FF2B5EF4-FFF2-40B4-BE49-F238E27FC236}">
              <a16:creationId xmlns:a16="http://schemas.microsoft.com/office/drawing/2014/main" id="{D577D9D9-BB0B-4D10-BB0A-596A19A7AAA7}"/>
            </a:ext>
          </a:extLst>
        </xdr:cNvPr>
        <xdr:cNvGrpSpPr/>
      </xdr:nvGrpSpPr>
      <xdr:grpSpPr>
        <a:xfrm rot="15858164">
          <a:off x="4790915" y="3118977"/>
          <a:ext cx="139135" cy="63445"/>
          <a:chOff x="13302191" y="2320613"/>
          <a:chExt cx="139135" cy="57233"/>
        </a:xfrm>
      </xdr:grpSpPr>
      <xdr:cxnSp macro="">
        <xdr:nvCxnSpPr>
          <xdr:cNvPr id="217" name="Straight Connector 81">
            <a:extLst>
              <a:ext uri="{FF2B5EF4-FFF2-40B4-BE49-F238E27FC236}">
                <a16:creationId xmlns:a16="http://schemas.microsoft.com/office/drawing/2014/main" id="{08D6AEE8-F46E-EE68-6898-6298D69EA60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82">
            <a:extLst>
              <a:ext uri="{FF2B5EF4-FFF2-40B4-BE49-F238E27FC236}">
                <a16:creationId xmlns:a16="http://schemas.microsoft.com/office/drawing/2014/main" id="{4D5363A9-4295-8B98-12CC-5D90E8B74B1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83">
            <a:extLst>
              <a:ext uri="{FF2B5EF4-FFF2-40B4-BE49-F238E27FC236}">
                <a16:creationId xmlns:a16="http://schemas.microsoft.com/office/drawing/2014/main" id="{B71212FE-9126-D9C0-4903-3A2BB53BCAD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84">
            <a:extLst>
              <a:ext uri="{FF2B5EF4-FFF2-40B4-BE49-F238E27FC236}">
                <a16:creationId xmlns:a16="http://schemas.microsoft.com/office/drawing/2014/main" id="{DE3C83A9-A2ED-4C1B-71D9-9AF2E6402C8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339587</xdr:colOff>
      <xdr:row>17</xdr:row>
      <xdr:rowOff>137861</xdr:rowOff>
    </xdr:from>
    <xdr:to>
      <xdr:col>15</xdr:col>
      <xdr:colOff>73503</xdr:colOff>
      <xdr:row>19</xdr:row>
      <xdr:rowOff>33130</xdr:rowOff>
    </xdr:to>
    <xdr:cxnSp macro="">
      <xdr:nvCxnSpPr>
        <xdr:cNvPr id="238" name="Straight Connector 237">
          <a:extLst>
            <a:ext uri="{FF2B5EF4-FFF2-40B4-BE49-F238E27FC236}">
              <a16:creationId xmlns:a16="http://schemas.microsoft.com/office/drawing/2014/main" id="{0ECB0372-9248-464C-9AC9-ADE90E4F33B2}"/>
            </a:ext>
          </a:extLst>
        </xdr:cNvPr>
        <xdr:cNvCxnSpPr>
          <a:cxnSpLocks/>
          <a:endCxn id="207" idx="4"/>
        </xdr:cNvCxnSpPr>
      </xdr:nvCxnSpPr>
      <xdr:spPr bwMode="auto">
        <a:xfrm flipV="1">
          <a:off x="4845326" y="2722035"/>
          <a:ext cx="495916" cy="1934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223631</xdr:colOff>
      <xdr:row>18</xdr:row>
      <xdr:rowOff>1</xdr:rowOff>
    </xdr:from>
    <xdr:to>
      <xdr:col>14</xdr:col>
      <xdr:colOff>287076</xdr:colOff>
      <xdr:row>18</xdr:row>
      <xdr:rowOff>139136</xdr:rowOff>
    </xdr:to>
    <xdr:grpSp>
      <xdr:nvGrpSpPr>
        <xdr:cNvPr id="241" name="Grup 239">
          <a:extLst>
            <a:ext uri="{FF2B5EF4-FFF2-40B4-BE49-F238E27FC236}">
              <a16:creationId xmlns:a16="http://schemas.microsoft.com/office/drawing/2014/main" id="{8B62F991-191B-4B1B-A6B8-B96ABD2435F4}"/>
            </a:ext>
          </a:extLst>
        </xdr:cNvPr>
        <xdr:cNvGrpSpPr/>
      </xdr:nvGrpSpPr>
      <xdr:grpSpPr>
        <a:xfrm rot="18186758">
          <a:off x="5072525" y="2771107"/>
          <a:ext cx="139135" cy="63445"/>
          <a:chOff x="13302191" y="2320613"/>
          <a:chExt cx="139135" cy="57233"/>
        </a:xfrm>
      </xdr:grpSpPr>
      <xdr:cxnSp macro="">
        <xdr:nvCxnSpPr>
          <xdr:cNvPr id="242" name="Straight Connector 81">
            <a:extLst>
              <a:ext uri="{FF2B5EF4-FFF2-40B4-BE49-F238E27FC236}">
                <a16:creationId xmlns:a16="http://schemas.microsoft.com/office/drawing/2014/main" id="{A64CB9F3-81A0-581D-CB42-028F6A6D89F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2">
            <a:extLst>
              <a:ext uri="{FF2B5EF4-FFF2-40B4-BE49-F238E27FC236}">
                <a16:creationId xmlns:a16="http://schemas.microsoft.com/office/drawing/2014/main" id="{ED6AA5D1-763D-9C32-1C9A-502CDF64BEB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83">
            <a:extLst>
              <a:ext uri="{FF2B5EF4-FFF2-40B4-BE49-F238E27FC236}">
                <a16:creationId xmlns:a16="http://schemas.microsoft.com/office/drawing/2014/main" id="{D7DFB4E4-9A24-31C1-A64B-C1ED5EBE3EA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84">
            <a:extLst>
              <a:ext uri="{FF2B5EF4-FFF2-40B4-BE49-F238E27FC236}">
                <a16:creationId xmlns:a16="http://schemas.microsoft.com/office/drawing/2014/main" id="{66054DF8-70AC-6F66-EE0B-79BAD5F81A2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347870</xdr:colOff>
      <xdr:row>18</xdr:row>
      <xdr:rowOff>57979</xdr:rowOff>
    </xdr:from>
    <xdr:to>
      <xdr:col>14</xdr:col>
      <xdr:colOff>169898</xdr:colOff>
      <xdr:row>23</xdr:row>
      <xdr:rowOff>93954</xdr:rowOff>
    </xdr:to>
    <xdr:sp macro="" textlink="">
      <xdr:nvSpPr>
        <xdr:cNvPr id="253" name="TextBox 160">
          <a:extLst>
            <a:ext uri="{FF2B5EF4-FFF2-40B4-BE49-F238E27FC236}">
              <a16:creationId xmlns:a16="http://schemas.microsoft.com/office/drawing/2014/main" id="{CB3ADBB2-3C8C-48AD-BB26-D085F5AEDFC0}"/>
            </a:ext>
          </a:extLst>
        </xdr:cNvPr>
        <xdr:cNvSpPr txBox="1"/>
      </xdr:nvSpPr>
      <xdr:spPr>
        <a:xfrm rot="16200000">
          <a:off x="4564418" y="3080431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339587</xdr:colOff>
      <xdr:row>21</xdr:row>
      <xdr:rowOff>49696</xdr:rowOff>
    </xdr:from>
    <xdr:to>
      <xdr:col>14</xdr:col>
      <xdr:colOff>161615</xdr:colOff>
      <xdr:row>26</xdr:row>
      <xdr:rowOff>85671</xdr:rowOff>
    </xdr:to>
    <xdr:sp macro="" textlink="">
      <xdr:nvSpPr>
        <xdr:cNvPr id="254" name="TextBox 160">
          <a:extLst>
            <a:ext uri="{FF2B5EF4-FFF2-40B4-BE49-F238E27FC236}">
              <a16:creationId xmlns:a16="http://schemas.microsoft.com/office/drawing/2014/main" id="{43D924DE-C40B-45F0-8C50-8DFBC54788EE}"/>
            </a:ext>
          </a:extLst>
        </xdr:cNvPr>
        <xdr:cNvSpPr txBox="1"/>
      </xdr:nvSpPr>
      <xdr:spPr>
        <a:xfrm rot="16200000">
          <a:off x="4556135" y="3519409"/>
          <a:ext cx="781410" cy="203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60 MTR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91109</xdr:colOff>
      <xdr:row>27</xdr:row>
      <xdr:rowOff>16566</xdr:rowOff>
    </xdr:from>
    <xdr:to>
      <xdr:col>15</xdr:col>
      <xdr:colOff>341162</xdr:colOff>
      <xdr:row>27</xdr:row>
      <xdr:rowOff>107967</xdr:rowOff>
    </xdr:to>
    <xdr:grpSp>
      <xdr:nvGrpSpPr>
        <xdr:cNvPr id="255" name="Group 134">
          <a:extLst>
            <a:ext uri="{FF2B5EF4-FFF2-40B4-BE49-F238E27FC236}">
              <a16:creationId xmlns:a16="http://schemas.microsoft.com/office/drawing/2014/main" id="{FD8AC2A7-A839-4C3E-8041-D4193489C9DA}"/>
            </a:ext>
          </a:extLst>
        </xdr:cNvPr>
        <xdr:cNvGrpSpPr/>
      </xdr:nvGrpSpPr>
      <xdr:grpSpPr>
        <a:xfrm>
          <a:off x="5358848" y="4091609"/>
          <a:ext cx="250053" cy="9140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56" name="Isosceles Triangle 118">
            <a:extLst>
              <a:ext uri="{FF2B5EF4-FFF2-40B4-BE49-F238E27FC236}">
                <a16:creationId xmlns:a16="http://schemas.microsoft.com/office/drawing/2014/main" id="{D60523E0-EB71-3C88-8F9A-E2F2F829836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57" name="Isosceles Triangle 119">
            <a:extLst>
              <a:ext uri="{FF2B5EF4-FFF2-40B4-BE49-F238E27FC236}">
                <a16:creationId xmlns:a16="http://schemas.microsoft.com/office/drawing/2014/main" id="{F48DC02F-8AD9-229A-70B6-18BE2B0DAB7B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58" name="Isosceles Triangle 120">
            <a:extLst>
              <a:ext uri="{FF2B5EF4-FFF2-40B4-BE49-F238E27FC236}">
                <a16:creationId xmlns:a16="http://schemas.microsoft.com/office/drawing/2014/main" id="{A9657F6E-C86C-5193-D8D7-AE638857A5FF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28</xdr:col>
      <xdr:colOff>0</xdr:colOff>
      <xdr:row>45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33A376-264B-2E36-F1AD-B8F80C4C3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857250"/>
          <a:ext cx="14497050" cy="7010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6</xdr:row>
      <xdr:rowOff>-1</xdr:rowOff>
    </xdr:from>
    <xdr:to>
      <xdr:col>29</xdr:col>
      <xdr:colOff>110756</xdr:colOff>
      <xdr:row>55</xdr:row>
      <xdr:rowOff>-1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9A8D56-FA38-FB29-DECE-8F4019672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908197"/>
          <a:ext cx="14819128" cy="75978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6" t="s">
        <v>1133</v>
      </c>
      <c r="C4" s="536"/>
      <c r="D4" s="536"/>
      <c r="E4" s="536"/>
      <c r="F4" s="536"/>
      <c r="G4" s="536"/>
      <c r="H4" s="53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7" t="s">
        <v>0</v>
      </c>
      <c r="C7" s="537" t="s">
        <v>1</v>
      </c>
      <c r="D7" s="538" t="s">
        <v>42</v>
      </c>
      <c r="E7" s="538" t="s">
        <v>43</v>
      </c>
      <c r="F7" s="538" t="s">
        <v>1134</v>
      </c>
      <c r="G7" s="539" t="s">
        <v>41</v>
      </c>
      <c r="H7" s="535" t="s">
        <v>1042</v>
      </c>
      <c r="I7" s="535" t="s">
        <v>1136</v>
      </c>
      <c r="J7" s="535" t="s">
        <v>1026</v>
      </c>
      <c r="K7" s="529" t="s">
        <v>1024</v>
      </c>
      <c r="L7" s="530"/>
    </row>
    <row r="8" spans="1:12" ht="15" customHeight="1">
      <c r="B8" s="537"/>
      <c r="C8" s="537"/>
      <c r="D8" s="538"/>
      <c r="E8" s="538"/>
      <c r="F8" s="538"/>
      <c r="G8" s="539"/>
      <c r="H8" s="535"/>
      <c r="I8" s="535"/>
      <c r="J8" s="535"/>
      <c r="K8" s="531"/>
      <c r="L8" s="532"/>
    </row>
    <row r="9" spans="1:12" ht="15" customHeight="1">
      <c r="B9" s="537"/>
      <c r="C9" s="537"/>
      <c r="D9" s="538"/>
      <c r="E9" s="538"/>
      <c r="F9" s="538"/>
      <c r="G9" s="539"/>
      <c r="H9" s="535"/>
      <c r="I9" s="535"/>
      <c r="J9" s="535"/>
      <c r="K9" s="533"/>
      <c r="L9" s="53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2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6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6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18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520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SUMIFS(RAB!$F$14:$F$135,RAB!$C$14:$C$135,C714)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SUMIFS(RAB!$F$14:$F$135,RAB!$C$14:$C$135,C715)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SUMIFS(RAB!$F$14:$F$135,RAB!$C$14:$C$135,C716)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SUMIFS(RAB!$F$14:$F$135,RAB!$C$14:$C$135,C717)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SUMIFS(RAB!$F$14:$F$135,RAB!$C$14:$C$135,C718)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SUMIFS(RAB!$F$14:$F$135,RAB!$C$14:$C$135,C719)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SUMIFS(RAB!$F$14:$F$135,RAB!$C$14:$C$135,C720)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SUMIFS(RAB!$F$14:$F$135,RAB!$C$14:$C$135,C721)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SUMIFS(RAB!$F$14:$F$135,RAB!$C$14:$C$135,C722)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SUMIFS(RAB!$F$14:$F$135,RAB!$C$14:$C$135,C723)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SUMIFS(RAB!$F$14:$F$135,RAB!$C$14:$C$135,C724)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SUMIFS(RAB!$F$14:$F$135,RAB!$C$14:$C$135,C725)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SUMIFS(RAB!$F$14:$F$135,RAB!$C$14:$C$135,C726)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SUMIFS(RAB!$F$14:$F$135,RAB!$C$14:$C$135,C727)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SUMIFS(RAB!$F$14:$F$135,RAB!$C$14:$C$135,C728)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SUMIFS(RAB!$F$14:$F$135,RAB!$C$14:$C$135,C729)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SUMIFS(RAB!$F$14:$F$135,RAB!$C$14:$C$135,C730)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SUMIFS(RAB!$F$14:$F$135,RAB!$C$14:$C$135,C731)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SUMIFS(RAB!$F$14:$F$135,RAB!$C$14:$C$135,C732)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SUMIFS(RAB!$F$14:$F$135,RAB!$C$14:$C$135,C733)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SUMIFS(RAB!$F$14:$F$135,RAB!$C$14:$C$135,C734)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SUMIFS(RAB!$F$14:$F$135,RAB!$C$14:$C$135,C735)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SUMIFS(RAB!$F$14:$F$135,RAB!$C$14:$C$135,C736)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SUMIFS(RAB!$F$14:$F$135,RAB!$C$14:$C$135,C737)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SUMIFS(RAB!$F$14:$F$135,RAB!$C$14:$C$135,C738)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SUMIFS(RAB!$F$14:$F$135,RAB!$C$14:$C$135,C739)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SUMIFS(RAB!$F$14:$F$135,RAB!$C$14:$C$135,C740)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SUMIFS(RAB!$F$14:$F$135,RAB!$C$14:$C$135,C741)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SUMIFS(RAB!$F$14:$F$135,RAB!$C$14:$C$135,C742)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SUMIFS(RAB!$F$14:$F$135,RAB!$C$14:$C$135,C743)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SUMIFS(RAB!$F$14:$F$135,RAB!$C$14:$C$135,C744)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SUMIFS(RAB!$F$14:$F$135,RAB!$C$14:$C$135,C745)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SUMIFS(RAB!$F$14:$F$135,RAB!$C$14:$C$135,C746)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SUMIFS(RAB!$F$14:$F$135,RAB!$C$14:$C$135,C747)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SUMIFS(RAB!$F$14:$F$135,RAB!$C$14:$C$135,C748)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SUMIFS(RAB!$F$14:$F$135,RAB!$C$14:$C$135,C749)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SUMIFS(RAB!$F$14:$F$135,RAB!$C$14:$C$135,C750)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SUMIFS(RAB!$F$14:$F$135,RAB!$C$14:$C$135,C751)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SUMIFS(RAB!$F$14:$F$135,RAB!$C$14:$C$135,C752)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SUMIFS(RAB!$F$14:$F$135,RAB!$C$14:$C$135,C753)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SUMIFS(RAB!$F$14:$F$135,RAB!$C$14:$C$135,C754)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SUMIFS(RAB!$F$14:$F$135,RAB!$C$14:$C$135,C755)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SUMIFS(RAB!$F$14:$F$135,RAB!$C$14:$C$135,C756)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SUMIFS(RAB!$F$14:$F$135,RAB!$C$14:$C$135,C757)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SUMIFS(RAB!$F$14:$F$135,RAB!$C$14:$C$135,C758)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SUMIFS(RAB!$F$14:$F$135,RAB!$C$14:$C$135,C759)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SUMIFS(RAB!$F$14:$F$135,RAB!$C$14:$C$135,C760)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SUMIFS(RAB!$F$14:$F$135,RAB!$C$14:$C$135,C761)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SUMIFS(RAB!$F$14:$F$135,RAB!$C$14:$C$135,C762)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SUMIFS(RAB!$F$14:$F$135,RAB!$C$14:$C$135,C763)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SUMIFS(RAB!$F$14:$F$135,RAB!$C$14:$C$135,C764)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SUMIFS(RAB!$F$14:$F$135,RAB!$C$14:$C$135,C765)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SUMIFS(RAB!$F$14:$F$135,RAB!$C$14:$C$135,C766)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SUMIFS(RAB!$F$14:$F$135,RAB!$C$14:$C$135,C767)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SUMIFS(RAB!$F$14:$F$135,RAB!$C$14:$C$135,C768)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SUMIFS(RAB!$F$14:$F$135,RAB!$C$14:$C$135,C769)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SUMIFS(RAB!$F$14:$F$135,RAB!$C$14:$C$135,C770)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SUMIFS(RAB!$F$14:$F$135,RAB!$C$14:$C$135,C771)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SUMIFS(RAB!$F$14:$F$135,RAB!$C$14:$C$135,C772)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SUMIFS(RAB!$F$14:$F$135,RAB!$C$14:$C$135,C773)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SUMIFS(RAB!$F$14:$F$135,RAB!$C$14:$C$135,C774)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SUMIFS(RAB!$F$14:$F$135,RAB!$C$14:$C$135,C775)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SUMIFS(RAB!$F$14:$F$135,RAB!$C$14:$C$135,C776)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SUMIFS(RAB!$F$14:$F$135,RAB!$C$14:$C$135,C777)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SUMIFS(RAB!$F$14:$F$135,RAB!$C$14:$C$135,C778)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SUMIFS(RAB!$F$14:$F$135,RAB!$C$14:$C$135,C779)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SUMIFS(RAB!$F$14:$F$135,RAB!$C$14:$C$135,C780)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SUMIFS(RAB!$F$14:$F$135,RAB!$C$14:$C$135,C781)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SUMIFS(RAB!$F$14:$F$135,RAB!$C$14:$C$135,C782)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SUMIFS(RAB!$F$14:$F$135,RAB!$C$14:$C$135,C783)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SUMIFS(RAB!$F$14:$F$135,RAB!$C$14:$C$135,C784)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SUMIFS(RAB!$F$14:$F$135,RAB!$C$14:$C$135,C785)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SUMIFS(RAB!$F$14:$F$135,RAB!$C$14:$C$135,C786)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SUMIFS(RAB!$F$14:$F$135,RAB!$C$14:$C$135,C787)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SUMIFS(RAB!$F$14:$F$135,RAB!$C$14:$C$135,C788)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SUMIFS(RAB!$F$14:$F$135,RAB!$C$14:$C$135,C789)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SUMIFS(RAB!$F$14:$F$135,RAB!$C$14:$C$135,C790)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SUMIFS(RAB!$F$14:$F$135,RAB!$C$14:$C$135,C791)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SUMIFS(RAB!$F$14:$F$135,RAB!$C$14:$C$135,C792)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SUMIFS(RAB!$F$14:$F$135,RAB!$C$14:$C$135,C793)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SUMIFS(RAB!$F$14:$F$135,RAB!$C$14:$C$135,C794)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SUMIFS(RAB!$F$14:$F$135,RAB!$C$14:$C$135,C795)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SUMIFS(RAB!$F$14:$F$135,RAB!$C$14:$C$135,C796)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SUMIFS(RAB!$F$14:$F$135,RAB!$C$14:$C$135,C797)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SUMIFS(RAB!$F$14:$F$135,RAB!$C$14:$C$135,C798)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SUMIFS(RAB!$F$14:$F$135,RAB!$C$14:$C$135,C799)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SUMIFS(RAB!$F$14:$F$135,RAB!$C$14:$C$135,C800)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SUMIFS(RAB!$F$14:$F$135,RAB!$C$14:$C$135,C801)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SUMIFS(RAB!$F$14:$F$135,RAB!$C$14:$C$135,C802)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SUMIFS(RAB!$F$14:$F$135,RAB!$C$14:$C$135,C803)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SUMIFS(RAB!$F$14:$F$135,RAB!$C$14:$C$135,C804)</f>
        <v>2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SUMIFS(RAB!$F$14:$F$135,RAB!$C$14:$C$135,C805)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SUMIFS(RAB!$F$14:$F$135,RAB!$C$14:$C$135,C806)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SUMIFS(RAB!$F$14:$F$135,RAB!$C$14:$C$135,C807)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SUMIFS(RAB!$F$14:$F$135,RAB!$C$14:$C$135,C808)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SUMIFS(RAB!$F$14:$F$135,RAB!$C$14:$C$135,C809)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SUMIFS(RAB!$F$14:$F$135,RAB!$C$14:$C$135,C810)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SUMIFS(RAB!$F$14:$F$135,RAB!$C$14:$C$135,C811)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SUMIFS(RAB!$F$14:$F$135,RAB!$C$14:$C$135,C812)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SUMIFS(RAB!$F$14:$F$135,RAB!$C$14:$C$135,C813)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SUMIFS(RAB!$F$14:$F$135,RAB!$C$14:$C$135,C814)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SUMIFS(RAB!$F$14:$F$135,RAB!$C$14:$C$135,C815)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SUMIFS(RAB!$F$14:$F$135,RAB!$C$14:$C$135,C816)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SUMIFS(RAB!$F$14:$F$135,RAB!$C$14:$C$135,C817)</f>
        <v>6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SUMIFS(RAB!$F$14:$F$135,RAB!$C$14:$C$135,C818)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SUMIFS(RAB!$F$14:$F$135,RAB!$C$14:$C$135,C819)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SUMIFS(RAB!$F$14:$F$135,RAB!$C$14:$C$135,C820)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SUMIFS(RAB!$F$14:$F$135,RAB!$C$14:$C$135,C821)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SUMIFS(RAB!$F$14:$F$135,RAB!$C$14:$C$135,C822)</f>
        <v>6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SUMIFS(RAB!$F$14:$F$135,RAB!$C$14:$C$135,C823)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SUMIFS(RAB!$F$14:$F$135,RAB!$C$14:$C$135,C824)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SUMIFS(RAB!$F$14:$F$135,RAB!$C$14:$C$135,C825)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SUMIFS(RAB!$F$14:$F$135,RAB!$C$14:$C$135,C826)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SUMIFS(RAB!$F$14:$F$135,RAB!$C$14:$C$135,C827)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SUMIFS(RAB!$F$14:$F$135,RAB!$C$14:$C$135,C828)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SUMIFS(RAB!$F$14:$F$135,RAB!$C$14:$C$135,C829)</f>
        <v>18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SUMIFS(RAB!$F$14:$F$135,RAB!$C$14:$C$135,C830)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SUMIFS(RAB!$F$14:$F$135,RAB!$C$14:$C$135,C831)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SUMIFS(RAB!$F$14:$F$135,RAB!$C$14:$C$135,C832)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SUMIFS(RAB!$F$14:$F$135,RAB!$C$14:$C$135,C833)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SUMIFS(RAB!$F$14:$F$135,RAB!$C$14:$C$135,C834)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SUMIFS(RAB!$F$14:$F$135,RAB!$C$14:$C$135,C835)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SUMIFS(RAB!$F$14:$F$135,RAB!$C$14:$C$135,C836)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SUMIFS(RAB!$F$14:$F$135,RAB!$C$14:$C$135,C837)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SUMIFS(RAB!$F$14:$F$135,RAB!$C$14:$C$135,C838)</f>
        <v>520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SUMIFS(RAB!$F$14:$F$135,RAB!$C$14:$C$135,C839)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SUMIFS(RAB!$F$14:$F$135,RAB!$C$14:$C$135,C840)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SUMIFS(RAB!$F$14:$F$135,RAB!$C$14:$C$135,C841)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SUMIFS(RAB!$F$14:$F$135,RAB!$C$14:$C$135,C842)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SUMIFS(RAB!$F$14:$F$135,RAB!$C$14:$C$135,C843)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SUMIFS(RAB!$F$14:$F$135,RAB!$C$14:$C$135,C844)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SUMIFS(RAB!$F$14:$F$135,RAB!$C$14:$C$135,C845)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SUMIFS(RAB!$F$14:$F$135,RAB!$C$14:$C$135,C846)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SUMIFS(RAB!$F$14:$F$135,RAB!$C$14:$C$135,C847)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SUMIFS(RAB!$F$14:$F$135,RAB!$C$14:$C$135,C848)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SUMIFS(RAB!$F$14:$F$135,RAB!$C$14:$C$135,C849)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SUMIFS(RAB!$F$14:$F$135,RAB!$C$14:$C$135,C850)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SUMIFS(RAB!$F$14:$F$135,RAB!$C$14:$C$135,C851)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SUMIFS(RAB!$F$14:$F$135,RAB!$C$14:$C$135,C852)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SUMIFS(RAB!$F$14:$F$135,RAB!$C$14:$C$135,C853)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SUMIFS(RAB!$F$14:$F$135,RAB!$C$14:$C$135,C854)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SUMIFS(RAB!$F$14:$F$135,RAB!$C$14:$C$135,C855)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SUMIFS(RAB!$F$14:$F$135,RAB!$C$14:$C$135,C856)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SUMIFS(RAB!$F$14:$F$135,RAB!$C$14:$C$135,C857)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SUMIFS(RAB!$F$14:$F$135,RAB!$C$14:$C$135,C858)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SUMIFS(RAB!$F$14:$F$135,RAB!$C$14:$C$135,C859)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SUMIFS(RAB!$F$14:$F$135,RAB!$C$14:$C$135,C860)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SUMIFS(RAB!$F$14:$F$135,RAB!$C$14:$C$135,C861)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SUMIFS(RAB!$F$14:$F$135,RAB!$C$14:$C$135,C862)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SUMIFS(RAB!$F$14:$F$135,RAB!$C$14:$C$135,C863)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SUMIFS(RAB!$F$14:$F$135,RAB!$C$14:$C$135,C864)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SUMIFS(RAB!$F$14:$F$135,RAB!$C$14:$C$135,C865)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SUMIFS(RAB!$F$14:$F$135,RAB!$C$14:$C$135,C866)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SUMIFS(RAB!$F$14:$F$135,RAB!$C$14:$C$135,C867)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SUMIFS(RAB!$F$14:$F$135,RAB!$C$14:$C$135,C868)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SUMIFS(RAB!$F$14:$F$135,RAB!$C$14:$C$135,C869)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SUMIFS(RAB!$F$14:$F$135,RAB!$C$14:$C$135,C870)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SUMIFS(RAB!$F$14:$F$135,RAB!$C$14:$C$135,C871)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SUMIFS(RAB!$F$14:$F$135,RAB!$C$14:$C$135,C872)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SUMIFS(RAB!$F$14:$F$135,RAB!$C$14:$C$135,C873)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SUMIFS(RAB!$F$14:$F$135,RAB!$C$14:$C$135,C874)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SUMIFS(RAB!$F$14:$F$135,RAB!$C$14:$C$135,C875)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SUMIFS(RAB!$F$14:$F$135,RAB!$C$14:$C$135,C876)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SUMIFS(RAB!$F$14:$F$135,RAB!$C$14:$C$135,C877)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SUMIFS(RAB!$F$14:$F$135,RAB!$C$14:$C$135,C878)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SUMIFS(RAB!$F$14:$F$135,RAB!$C$14:$C$135,C879)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SUMIFS(RAB!$F$14:$F$135,RAB!$C$14:$C$135,C880)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SUMIFS(RAB!$F$14:$F$135,RAB!$C$14:$C$135,C881)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SUMIFS(RAB!$F$14:$F$135,RAB!$C$14:$C$135,C882)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SUMIFS(RAB!$F$14:$F$135,RAB!$C$14:$C$135,C883)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SUMIFS(RAB!$F$14:$F$135,RAB!$C$14:$C$135,C884)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SUMIFS(RAB!$F$14:$F$135,RAB!$C$14:$C$135,C885)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SUMIFS(RAB!$F$14:$F$135,RAB!$C$14:$C$135,C886)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SUMIFS(RAB!$F$14:$F$135,RAB!$C$14:$C$135,C887)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SUMIFS(RAB!$F$14:$F$135,RAB!$C$14:$C$135,C888)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SUMIFS(RAB!$F$14:$F$135,RAB!$C$14:$C$135,C889)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SUMIFS(RAB!$F$14:$F$135,RAB!$C$14:$C$135,C890)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SUMIFS(RAB!$F$14:$F$135,RAB!$C$14:$C$135,C891)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SUMIFS(RAB!$F$14:$F$135,RAB!$C$14:$C$135,C892)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SUMIFS(RAB!$F$14:$F$135,RAB!$C$14:$C$135,C893)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SUMIFS(RAB!$F$14:$F$135,RAB!$C$14:$C$135,C894)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SUMIFS(RAB!$F$14:$F$135,RAB!$C$14:$C$135,C895)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SUMIFS(RAB!$F$14:$F$135,RAB!$C$14:$C$135,C896)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SUMIFS(RAB!$F$14:$F$135,RAB!$C$14:$C$135,C897)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SUMIFS(RAB!$F$14:$F$135,RAB!$C$14:$C$135,C898)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SUMIFS(RAB!$F$14:$F$135,RAB!$C$14:$C$135,C899)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SUMIFS(RAB!$F$14:$F$135,RAB!$C$14:$C$135,C900)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SUMIFS(RAB!$F$14:$F$135,RAB!$C$14:$C$135,C901)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SUMIFS(RAB!$F$14:$F$135,RAB!$C$14:$C$135,C902)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SUMIFS(RAB!$F$14:$F$135,RAB!$C$14:$C$135,C903)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SUMIFS(RAB!$F$14:$F$135,RAB!$C$14:$C$135,C904)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SUMIFS(RAB!$F$14:$F$135,RAB!$C$14:$C$135,C905)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SUMIFS(RAB!$F$14:$F$135,RAB!$C$14:$C$135,C906)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SUMIFS(RAB!$F$14:$F$135,RAB!$C$14:$C$135,C907)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SUMIFS(RAB!$F$14:$F$135,RAB!$C$14:$C$135,C908)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SUMIFS(RAB!$F$14:$F$135,RAB!$C$14:$C$135,C909)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SUMIFS(RAB!$F$14:$F$135,RAB!$C$14:$C$135,C910)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SUMIFS(RAB!$F$14:$F$135,RAB!$C$14:$C$135,C911)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SUMIFS(RAB!$F$14:$F$135,RAB!$C$14:$C$135,C912)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SUMIFS(RAB!$F$14:$F$135,RAB!$C$14:$C$135,C913)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SUMIFS(RAB!$F$14:$F$135,RAB!$C$14:$C$135,C914)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SUMIFS(RAB!$F$14:$F$135,RAB!$C$14:$C$135,C915)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SUMIFS(RAB!$F$14:$F$135,RAB!$C$14:$C$135,C916)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SUMIFS(RAB!$F$14:$F$135,RAB!$C$14:$C$135,C917)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SUMIFS(RAB!$F$14:$F$135,RAB!$C$14:$C$135,C918)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SUMIFS(RAB!$F$14:$F$135,RAB!$C$14:$C$135,C919)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SUMIFS(RAB!$F$14:$F$135,RAB!$C$14:$C$135,C920)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SUMIFS(RAB!$F$14:$F$135,RAB!$C$14:$C$135,C921)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SUMIFS(RAB!$F$14:$F$135,RAB!$C$14:$C$135,C922)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SUMIFS(RAB!$F$14:$F$135,RAB!$C$14:$C$135,C923)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SUMIFS(RAB!$F$14:$F$135,RAB!$C$14:$C$135,C924)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SUMIFS(RAB!$F$14:$F$135,RAB!$C$14:$C$135,C925)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SUMIFS(RAB!$F$14:$F$135,RAB!$C$14:$C$135,C926)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SUMIFS(RAB!$F$14:$F$135,RAB!$C$14:$C$135,C927)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SUMIFS(RAB!$F$14:$F$135,RAB!$C$14:$C$135,C928)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SUMIFS(RAB!$F$14:$F$135,RAB!$C$14:$C$135,C929)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SUMIFS(RAB!$F$14:$F$135,RAB!$C$14:$C$135,C930)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SUMIFS(RAB!$F$14:$F$135,RAB!$C$14:$C$135,C931)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SUMIFS(RAB!$F$14:$F$135,RAB!$C$14:$C$135,C932)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SUMIFS(RAB!$F$14:$F$135,RAB!$C$14:$C$135,C933)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SUMIFS(RAB!$F$14:$F$135,RAB!$C$14:$C$135,C934)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SUMIFS(RAB!$F$14:$F$135,RAB!$C$14:$C$135,C935)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SUMIFS(RAB!$F$14:$F$135,RAB!$C$14:$C$135,C936)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SUMIFS(RAB!$F$14:$F$135,RAB!$C$14:$C$135,C937)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SUMIFS(RAB!$F$14:$F$135,RAB!$C$14:$C$135,C938)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SUMIFS(RAB!$F$14:$F$135,RAB!$C$14:$C$135,C939)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SUMIFS(RAB!$F$14:$F$135,RAB!$C$14:$C$135,C940)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SUMIFS(RAB!$F$14:$F$135,RAB!$C$14:$C$135,C941)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SUMIFS(RAB!$F$14:$F$135,RAB!$C$14:$C$135,C942)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SUMIFS(RAB!$F$14:$F$135,RAB!$C$14:$C$135,C943)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SUMIFS(RAB!$F$14:$F$135,RAB!$C$14:$C$135,C944)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SUMIFS(RAB!$F$14:$F$135,RAB!$C$14:$C$135,C945)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SUMIFS(RAB!$F$14:$F$135,RAB!$C$14:$C$135,C946)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SUMIFS(RAB!$F$14:$F$135,RAB!$C$14:$C$135,C947)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SUMIFS(RAB!$F$14:$F$135,RAB!$C$14:$C$135,C948)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SUMIFS(RAB!$F$14:$F$135,RAB!$C$14:$C$135,C949)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SUMIFS(RAB!$F$14:$F$135,RAB!$C$14:$C$135,C950)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SUMIFS(RAB!$F$14:$F$135,RAB!$C$14:$C$135,C951)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SUMIFS(RAB!$F$14:$F$135,RAB!$C$14:$C$135,C952)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SUMIFS(RAB!$F$14:$F$135,RAB!$C$14:$C$135,C953)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SUMIFS(RAB!$F$14:$F$135,RAB!$C$14:$C$135,C954)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SUMIFS(RAB!$F$14:$F$135,RAB!$C$14:$C$135,C955)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SUMIFS(RAB!$F$14:$F$135,RAB!$C$14:$C$135,C956)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SUMIFS(RAB!$F$14:$F$135,RAB!$C$14:$C$135,C957)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SUMIFS(RAB!$F$14:$F$135,RAB!$C$14:$C$135,C958)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SUMIFS(RAB!$F$14:$F$135,RAB!$C$14:$C$135,C959)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SUMIFS(RAB!$F$14:$F$135,RAB!$C$14:$C$135,C960)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SUMIFS(RAB!$F$14:$F$135,RAB!$C$14:$C$135,C961)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SUMIFS(RAB!$F$14:$F$135,RAB!$C$14:$C$135,C962)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SUMIFS(RAB!$F$14:$F$135,RAB!$C$14:$C$135,C963)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SUMIFS(RAB!$F$14:$F$135,RAB!$C$14:$C$135,C964)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SUMIFS(RAB!$F$14:$F$135,RAB!$C$14:$C$135,C965)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SUMIFS(RAB!$F$14:$F$135,RAB!$C$14:$C$135,C966)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SUMIFS(RAB!$F$14:$F$135,RAB!$C$14:$C$135,C967)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SUMIFS(RAB!$F$14:$F$135,RAB!$C$14:$C$135,C968)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SUMIFS(RAB!$F$14:$F$135,RAB!$C$14:$C$135,C969)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SUMIFS(RAB!$F$14:$F$135,RAB!$C$14:$C$135,C970)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SUMIFS(RAB!$F$14:$F$135,RAB!$C$14:$C$135,C971)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SUMIFS(RAB!$F$14:$F$135,RAB!$C$14:$C$135,C972)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SUMIFS(RAB!$F$14:$F$135,RAB!$C$14:$C$135,C973)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SUMIFS(RAB!$F$14:$F$135,RAB!$C$14:$C$135,C974)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SUMIFS(RAB!$F$14:$F$135,RAB!$C$14:$C$135,C975)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SUMIFS(RAB!$F$14:$F$135,RAB!$C$14:$C$135,C976)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SUMIFS(RAB!$F$14:$F$135,RAB!$C$14:$C$135,C977)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SUMIFS(RAB!$F$14:$F$135,RAB!$C$14:$C$135,C978)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SUMIFS(RAB!$F$14:$F$135,RAB!$C$14:$C$135,C979)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SUMIFS(RAB!$F$14:$F$135,RAB!$C$14:$C$135,C980)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SUMIFS(RAB!$F$14:$F$135,RAB!$C$14:$C$135,C981)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SUMIFS(RAB!$F$14:$F$135,RAB!$C$14:$C$135,C982)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SUMIFS(RAB!$F$14:$F$135,RAB!$C$14:$C$135,C983)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SUMIFS(RAB!$F$14:$F$135,RAB!$C$14:$C$135,C984)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SUMIFS(RAB!$F$14:$F$135,RAB!$C$14:$C$135,C985)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SUMIFS(RAB!$F$14:$F$135,RAB!$C$14:$C$135,C986)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SUMIFS(RAB!$F$14:$F$135,RAB!$C$14:$C$135,C987)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SUMIFS(RAB!$F$14:$F$135,RAB!$C$14:$C$135,C988)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SUMIFS(RAB!$F$14:$F$135,RAB!$C$14:$C$135,C989)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SUMIFS(RAB!$F$14:$F$135,RAB!$C$14:$C$135,C990)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SUMIFS(RAB!$F$14:$F$135,RAB!$C$14:$C$135,C991)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SUMIFS(RAB!$F$14:$F$135,RAB!$C$14:$C$135,C992)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SUMIFS(RAB!$F$14:$F$135,RAB!$C$14:$C$135,C993)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SUMIFS(RAB!$F$14:$F$135,RAB!$C$14:$C$135,C994)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SUMIFS(RAB!$F$14:$F$135,RAB!$C$14:$C$135,C995)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SUMIFS(RAB!$F$14:$F$135,RAB!$C$14:$C$135,C996)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SUMIFS(RAB!$F$14:$F$135,RAB!$C$14:$C$135,C997)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SUMIFS(RAB!$F$14:$F$135,RAB!$C$14:$C$135,C998)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SUMIFS(RAB!$F$14:$F$135,RAB!$C$14:$C$135,C999)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SUMIFS(RAB!$F$14:$F$135,RAB!$C$14:$C$135,C1000)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SUMIFS(RAB!$F$14:$F$135,RAB!$C$14:$C$135,C1001)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SUMIFS(RAB!$F$14:$F$135,RAB!$C$14:$C$135,C1002)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SUMIFS(RAB!$F$14:$F$135,RAB!$C$14:$C$135,C1003)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SUMIFS(RAB!$F$14:$F$135,RAB!$C$14:$C$135,C1004)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SUMIFS(RAB!$F$14:$F$135,RAB!$C$14:$C$135,C1005)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SUMIFS(RAB!$F$14:$F$135,RAB!$C$14:$C$135,C1006)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SUMIFS(RAB!$F$14:$F$135,RAB!$C$14:$C$135,C1007)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SUMIFS(RAB!$F$14:$F$135,RAB!$C$14:$C$135,C1008)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SUMIFS(RAB!$F$14:$F$135,RAB!$C$14:$C$135,C1009)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SUMIFS(RAB!$F$14:$F$135,RAB!$C$14:$C$135,C1010)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SUMIFS(RAB!$F$14:$F$135,RAB!$C$14:$C$135,C1011)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SUMIFS(RAB!$F$14:$F$135,RAB!$C$14:$C$135,C1012)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SUMIFS(RAB!$F$14:$F$135,RAB!$C$14:$C$135,C1013)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SUMIFS(RAB!$F$14:$F$135,RAB!$C$14:$C$135,C1014)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SUMIFS(RAB!$F$14:$F$135,RAB!$C$14:$C$135,C1015)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SUMIFS(RAB!$F$14:$F$135,RAB!$C$14:$C$135,C1016)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SUMIFS(RAB!$F$14:$F$135,RAB!$C$14:$C$135,C1017)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SUMIFS(RAB!$F$14:$F$135,RAB!$C$14:$C$135,C1018)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SUMIFS(RAB!$F$14:$F$135,RAB!$C$14:$C$135,C1019)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SUMIFS(RAB!$F$14:$F$135,RAB!$C$14:$C$135,C1020)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SUMIFS(RAB!$F$14:$F$135,RAB!$C$14:$C$135,C1021)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SUMIFS(RAB!$F$14:$F$135,RAB!$C$14:$C$135,C1022)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SUMIFS(RAB!$F$14:$F$135,RAB!$C$14:$C$135,C1023)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SUMIFS(RAB!$F$14:$F$135,RAB!$C$14:$C$135,C1024)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SUMIFS(RAB!$F$14:$F$135,RAB!$C$14:$C$135,C1025)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SUMIFS(RAB!$F$14:$F$135,RAB!$C$14:$C$135,C1026)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SUMIFS(RAB!$F$14:$F$135,RAB!$C$14:$C$135,C1027)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SUMIFS(RAB!$F$14:$F$135,RAB!$C$14:$C$135,C1028)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SUMIFS(RAB!$F$14:$F$135,RAB!$C$14:$C$135,C1029)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SUMIFS(RAB!$F$14:$F$135,RAB!$C$14:$C$135,C1030)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SUMIFS(RAB!$F$14:$F$135,RAB!$C$14:$C$135,C1031)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SUMIFS(RAB!$F$14:$F$135,RAB!$C$14:$C$135,C1032)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SUMIFS(RAB!$F$14:$F$135,RAB!$C$14:$C$135,C1033)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SUMIFS(RAB!$F$14:$F$135,RAB!$C$14:$C$135,C1034)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SUMIFS(RAB!$F$14:$F$135,RAB!$C$14:$C$135,C1035)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SUMIFS(RAB!$F$14:$F$135,RAB!$C$14:$C$135,C1036)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SUMIFS(RAB!$F$14:$F$135,RAB!$C$14:$C$135,C1037)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SUMIFS(RAB!$F$14:$F$135,RAB!$C$14:$C$135,C1038)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SUMIFS(RAB!$F$14:$F$135,RAB!$C$14:$C$135,C1039)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SUMIFS(RAB!$F$14:$F$135,RAB!$C$14:$C$135,C1040)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SUMIFS(RAB!$F$14:$F$135,RAB!$C$14:$C$135,C1041)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SUMIFS(RAB!$F$14:$F$135,RAB!$C$14:$C$135,C1042)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SUMIFS(RAB!$F$14:$F$135,RAB!$C$14:$C$135,C1043)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SUMIFS(RAB!$F$14:$F$135,RAB!$C$14:$C$135,C1044)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SUMIFS(RAB!$F$14:$F$135,RAB!$C$14:$C$135,C1045)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SUMIFS(RAB!$F$14:$F$135,RAB!$C$14:$C$135,C1046)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SUMIFS(RAB!$F$14:$F$135,RAB!$C$14:$C$135,C1047)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SUMIFS(RAB!$F$14:$F$135,RAB!$C$14:$C$135,C1048)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SUMIFS(RAB!$F$14:$F$135,RAB!$C$14:$C$135,C1049)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SUMIFS(RAB!$F$14:$F$135,RAB!$C$14:$C$135,C1050)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SUMIFS(RAB!$F$14:$F$135,RAB!$C$14:$C$135,C1051)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SUMIFS(RAB!$F$14:$F$135,RAB!$C$14:$C$135,C1052)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SUMIFS(RAB!$F$14:$F$135,RAB!$C$14:$C$135,C1053)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SUMIFS(RAB!$F$14:$F$135,RAB!$C$14:$C$135,C1054)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SUMIFS(RAB!$F$14:$F$135,RAB!$C$14:$C$135,C1055)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SUMIFS(RAB!$F$14:$F$135,RAB!$C$14:$C$135,C1056)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SUMIFS(RAB!$F$14:$F$135,RAB!$C$14:$C$135,C1057)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SUMIFS(RAB!$F$14:$F$135,RAB!$C$14:$C$135,C1058)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SUMIFS(RAB!$F$14:$F$135,RAB!$C$14:$C$135,C1059)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SUMIFS(RAB!$F$14:$F$135,RAB!$C$14:$C$135,C1060)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SUMIFS(RAB!$F$14:$F$135,RAB!$C$14:$C$135,C1061)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SUMIFS(RAB!$F$14:$F$135,RAB!$C$14:$C$135,C1062)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SUMIFS(RAB!$F$14:$F$135,RAB!$C$14:$C$135,C1063)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SUMIFS(RAB!$F$14:$F$135,RAB!$C$14:$C$135,C1064)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SUMIFS(RAB!$F$14:$F$135,RAB!$C$14:$C$135,C1065)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SUMIFS(RAB!$F$14:$F$135,RAB!$C$14:$C$135,C1066)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SUMIFS(RAB!$F$14:$F$135,RAB!$C$14:$C$135,C1067)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SUMIFS(RAB!$F$14:$F$135,RAB!$C$14:$C$135,C1068)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SUMIFS(RAB!$F$14:$F$135,RAB!$C$14:$C$135,C1069)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SUMIFS(RAB!$F$14:$F$135,RAB!$C$14:$C$135,C1070)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SUMIFS(RAB!$F$14:$F$135,RAB!$C$14:$C$135,C1071)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SUMIFS(RAB!$F$14:$F$135,RAB!$C$14:$C$135,C1072)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SUMIFS(RAB!$F$14:$F$135,RAB!$C$14:$C$135,C1073)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SUMIFS(RAB!$F$14:$F$135,RAB!$C$14:$C$135,C1074)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SUMIFS(RAB!$F$14:$F$135,RAB!$C$14:$C$135,C1075)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SUMIFS(RAB!$F$14:$F$135,RAB!$C$14:$C$135,C1076)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SUMIFS(RAB!$F$14:$F$135,RAB!$C$14:$C$135,C1077)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SUMIFS(RAB!$F$14:$F$135,RAB!$C$14:$C$135,C1078)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SUMIFS(RAB!$F$14:$F$135,RAB!$C$14:$C$135,C1079)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SUMIFS(RAB!$F$14:$F$135,RAB!$C$14:$C$135,C1080)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SUMIFS(RAB!$F$14:$F$135,RAB!$C$14:$C$135,C1081)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SUMIFS(RAB!$F$14:$F$135,RAB!$C$14:$C$135,C1082)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SUMIFS(RAB!$F$14:$F$135,RAB!$C$14:$C$135,C1083)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SUMIFS(RAB!$F$14:$F$135,RAB!$C$14:$C$135,C1084)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SUMIFS(RAB!$F$14:$F$135,RAB!$C$14:$C$135,C1085)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SUMIFS(RAB!$F$14:$F$135,RAB!$C$14:$C$135,C1086)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SUMIFS(RAB!$F$14:$F$135,RAB!$C$14:$C$135,C1087)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SUMIFS(RAB!$F$14:$F$135,RAB!$C$14:$C$135,C1088)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SUMIFS(RAB!$F$14:$F$135,RAB!$C$14:$C$135,C1089)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SUMIFS(RAB!$F$14:$F$135,RAB!$C$14:$C$135,C1090)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SUMIFS(RAB!$F$14:$F$135,RAB!$C$14:$C$135,C1091)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SUMIFS(RAB!$F$14:$F$135,RAB!$C$14:$C$135,C1092)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SUMIFS(RAB!$F$14:$F$135,RAB!$C$14:$C$135,C1093)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SUMIFS(RAB!$F$14:$F$135,RAB!$C$14:$C$135,C1094)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SUMIFS(RAB!$F$14:$F$135,RAB!$C$14:$C$135,C1095)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SUMIFS(RAB!$F$14:$F$135,RAB!$C$14:$C$135,C1096)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SUMIFS(RAB!$F$14:$F$135,RAB!$C$14:$C$135,C1097)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SUMIFS(RAB!$F$14:$F$135,RAB!$C$14:$C$135,C1098)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SUMIFS(RAB!$F$14:$F$135,RAB!$C$14:$C$135,C1099)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SUMIFS(RAB!$F$14:$F$135,RAB!$C$14:$C$135,C1100)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SUMIFS(RAB!$F$14:$F$135,RAB!$C$14:$C$135,C1101)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SUMIFS(RAB!$F$14:$F$135,RAB!$C$14:$C$135,C1102)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SUMIFS(RAB!$F$14:$F$135,RAB!$C$14:$C$135,C1103)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SUMIFS(RAB!$F$14:$F$135,RAB!$C$14:$C$135,C1104)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SUMIFS(RAB!$F$14:$F$135,RAB!$C$14:$C$135,C1105)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SUMIFS(RAB!$F$14:$F$135,RAB!$C$14:$C$135,C1106)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SUMIFS(RAB!$F$14:$F$135,RAB!$C$14:$C$135,C1107)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SUMIFS(RAB!$F$14:$F$135,RAB!$C$14:$C$135,C1108)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SUMIFS(RAB!$F$14:$F$135,RAB!$C$14:$C$135,C1109)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SUMIFS(RAB!$F$14:$F$135,RAB!$C$14:$C$135,C1110)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SUMIFS(RAB!$F$14:$F$135,RAB!$C$14:$C$135,C1111)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SUMIFS(RAB!$F$14:$F$135,RAB!$C$14:$C$135,C1112)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SUMIFS(RAB!$F$14:$F$135,RAB!$C$14:$C$135,C1113)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SUMIFS(RAB!$F$14:$F$135,RAB!$C$14:$C$135,C1114)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SUMIFS(RAB!$F$14:$F$135,RAB!$C$14:$C$135,C1115)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SUMIFS(RAB!$F$14:$F$135,RAB!$C$14:$C$135,C1116)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SUMIFS(RAB!$F$14:$F$135,RAB!$C$14:$C$135,C1117)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SUMIFS(RAB!$F$14:$F$135,RAB!$C$14:$C$135,C1118)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SUMIFS(RAB!$F$14:$F$135,RAB!$C$14:$C$135,C1119)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SUMIFS(RAB!$F$14:$F$135,RAB!$C$14:$C$135,C1120)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SUMIFS(RAB!$F$14:$F$135,RAB!$C$14:$C$135,C1121)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SUMIFS(RAB!$F$14:$F$135,RAB!$C$14:$C$135,C1122)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SUMIFS(RAB!$F$14:$F$135,RAB!$C$14:$C$135,C1123)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SUMIFS(RAB!$F$14:$F$135,RAB!$C$14:$C$135,C1124)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SUMIFS(RAB!$F$14:$F$135,RAB!$C$14:$C$135,C1125)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SUMIFS(RAB!$F$14:$F$135,RAB!$C$14:$C$135,C1126)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SUMIFS(RAB!$F$14:$F$135,RAB!$C$14:$C$135,C1127)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SUMIFS(RAB!$F$14:$F$135,RAB!$C$14:$C$135,C1128)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SUMIFS(RAB!$F$14:$F$135,RAB!$C$14:$C$135,C1129)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SUMIFS(RAB!$F$14:$F$135,RAB!$C$14:$C$135,C1130)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SUMIFS(RAB!$F$14:$F$135,RAB!$C$14:$C$135,C1131)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SUMIFS(RAB!$F$14:$F$135,RAB!$C$14:$C$135,C1132)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SUMIFS(RAB!$F$14:$F$135,RAB!$C$14:$C$135,C1133)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SUMIFS(RAB!$F$14:$F$135,RAB!$C$14:$C$135,C1134)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SUMIFS(RAB!$F$14:$F$135,RAB!$C$14:$C$135,C1135)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SUMIFS(RAB!$F$14:$F$135,RAB!$C$14:$C$135,C1136)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SUMIFS(RAB!$F$14:$F$135,RAB!$C$14:$C$135,C1137)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SUMIFS(RAB!$F$14:$F$135,RAB!$C$14:$C$135,C1138)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SUMIFS(RAB!$F$14:$F$135,RAB!$C$14:$C$135,C1139)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SUMIFS(RAB!$F$14:$F$135,RAB!$C$14:$C$135,C1140)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SUMIFS(RAB!$F$14:$F$135,RAB!$C$14:$C$135,C1141)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SUMIFS(RAB!$F$14:$F$135,RAB!$C$14:$C$135,C1142)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SUMIFS(RAB!$F$14:$F$135,RAB!$C$14:$C$135,C1143)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SUMIFS(RAB!$F$14:$F$135,RAB!$C$14:$C$135,C1144)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SUMIFS(RAB!$F$14:$F$135,RAB!$C$14:$C$135,C1145)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SUMIFS(RAB!$F$14:$F$135,RAB!$C$14:$C$135,C1146)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SUMIFS(RAB!$F$14:$F$135,RAB!$C$14:$C$135,C1147)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SUMIFS(RAB!$F$14:$F$135,RAB!$C$14:$C$135,C1148)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SUMIFS(RAB!$F$14:$F$135,RAB!$C$14:$C$135,C1149)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SUMIFS(RAB!$F$14:$F$135,RAB!$C$14:$C$135,C1150)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SUMIFS(RAB!$F$14:$F$135,RAB!$C$14:$C$135,C1151)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SUMIFS(RAB!$F$14:$F$135,RAB!$C$14:$C$135,C1152)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SUMIFS(RAB!$F$14:$F$135,RAB!$C$14:$C$135,C1153)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SUMIFS(RAB!$F$14:$F$135,RAB!$C$14:$C$135,C1154)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SUMIFS(RAB!$F$14:$F$135,RAB!$C$14:$C$135,C1155)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SUMIFS(RAB!$F$14:$F$135,RAB!$C$14:$C$135,C1156)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SUMIFS(RAB!$F$14:$F$135,RAB!$C$14:$C$135,C1157)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SUMIFS(RAB!$F$14:$F$135,RAB!$C$14:$C$135,C1158)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SUMIFS(RAB!$F$14:$F$135,RAB!$C$14:$C$135,C1159)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SUMIFS(RAB!$F$14:$F$135,RAB!$C$14:$C$135,C1160)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SUMIFS(RAB!$F$14:$F$135,RAB!$C$14:$C$135,C1161)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SUMIFS(RAB!$F$14:$F$135,RAB!$C$14:$C$135,C1162)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SUMIFS(RAB!$F$14:$F$135,RAB!$C$14:$C$135,C1163)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SUMIFS(RAB!$F$14:$F$135,RAB!$C$14:$C$135,C1164)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SUMIFS(RAB!$F$14:$F$135,RAB!$C$14:$C$135,C1165)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SUMIFS(RAB!$F$14:$F$135,RAB!$C$14:$C$135,C1166)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SUMIFS(RAB!$F$14:$F$135,RAB!$C$14:$C$135,C1167)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SUMIFS(RAB!$F$14:$F$135,RAB!$C$14:$C$135,C1168)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SUMIFS(RAB!$F$14:$F$135,RAB!$C$14:$C$135,C1169)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SUMIFS(RAB!$F$14:$F$135,RAB!$C$14:$C$135,C1170)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SUMIFS(RAB!$F$14:$F$135,RAB!$C$14:$C$135,C1171)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SUMIFS(RAB!$F$14:$F$135,RAB!$C$14:$C$135,C1172)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SUMIFS(RAB!$F$14:$F$135,RAB!$C$14:$C$135,C1173)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SUMIFS(RAB!$F$14:$F$135,RAB!$C$14:$C$135,C1174)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SUMIFS(RAB!$F$14:$F$135,RAB!$C$14:$C$135,C1175)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SUMIFS(RAB!$F$14:$F$135,RAB!$C$14:$C$135,C1176)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SUMIFS(RAB!$F$14:$F$135,RAB!$C$14:$C$135,C1177)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SUMIFS(RAB!$F$14:$F$135,RAB!$C$14:$C$135,C1178)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SUMIFS(RAB!$F$14:$F$135,RAB!$C$14:$C$135,C1179)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SUMIFS(RAB!$F$14:$F$135,RAB!$C$14:$C$135,C1180)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SUMIFS(RAB!$F$14:$F$135,RAB!$C$14:$C$135,C1181)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SUMIFS(RAB!$F$14:$F$135,RAB!$C$14:$C$135,C1182)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SUMIFS(RAB!$F$14:$F$135,RAB!$C$14:$C$135,C1183)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SUMIFS(RAB!$F$14:$F$135,RAB!$C$14:$C$135,C1184)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SUMIFS(RAB!$F$14:$F$135,RAB!$C$14:$C$135,C1185)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SUMIFS(RAB!$F$14:$F$135,RAB!$C$14:$C$135,C1186)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SUMIFS(RAB!$F$14:$F$135,RAB!$C$14:$C$135,C1187)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SUMIFS(RAB!$F$14:$F$135,RAB!$C$14:$C$135,C1188)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SUMIFS(RAB!$F$14:$F$135,RAB!$C$14:$C$135,C1189)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SUMIFS(RAB!$F$14:$F$135,RAB!$C$14:$C$135,C1190)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SUMIFS(RAB!$F$14:$F$135,RAB!$C$14:$C$135,C1191)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SUMIFS(RAB!$F$14:$F$135,RAB!$C$14:$C$135,C1192)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SUMIFS(RAB!$F$14:$F$135,RAB!$C$14:$C$135,C1193)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SUMIFS(RAB!$F$14:$F$135,RAB!$C$14:$C$135,C1194)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SUMIFS(RAB!$F$14:$F$135,RAB!$C$14:$C$135,C1195)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SUMIFS(RAB!$F$14:$F$135,RAB!$C$14:$C$135,C1196)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SUMIFS(RAB!$F$14:$F$135,RAB!$C$14:$C$135,C1197)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SUMIFS(RAB!$F$14:$F$135,RAB!$C$14:$C$135,C1198)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SUMIFS(RAB!$F$14:$F$135,RAB!$C$14:$C$135,C1199)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SUMIFS(RAB!$F$14:$F$135,RAB!$C$14:$C$135,C1200)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SUMIFS(RAB!$F$14:$F$135,RAB!$C$14:$C$135,C1201)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SUMIFS(RAB!$F$14:$F$135,RAB!$C$14:$C$135,C1202)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SUMIFS(RAB!$F$14:$F$135,RAB!$C$14:$C$135,C1203)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SUMIFS(RAB!$F$14:$F$135,RAB!$C$14:$C$135,C1204)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SUMIFS(RAB!$F$14:$F$135,RAB!$C$14:$C$135,C1205)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SUMIFS(RAB!$F$14:$F$135,RAB!$C$14:$C$135,C1206)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SUMIFS(RAB!$F$14:$F$135,RAB!$C$14:$C$135,C1207)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SUMIFS(RAB!$F$14:$F$135,RAB!$C$14:$C$135,C1208)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SUMIFS(RAB!$F$14:$F$135,RAB!$C$14:$C$135,C1209)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SUMIFS(RAB!$F$14:$F$135,RAB!$C$14:$C$135,C1210)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SUMIFS(RAB!$F$14:$F$135,RAB!$C$14:$C$135,C1211)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SUMIFS(RAB!$F$14:$F$135,RAB!$C$14:$C$135,C1212)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SUMIFS(RAB!$F$14:$F$135,RAB!$C$14:$C$135,C1213)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SUMIFS(RAB!$F$14:$F$135,RAB!$C$14:$C$135,C1214)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SUMIFS(RAB!$F$14:$F$135,RAB!$C$14:$C$135,C1215)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SUMIFS(RAB!$F$14:$F$135,RAB!$C$14:$C$135,C1216)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SUMIFS(RAB!$F$14:$F$135,RAB!$C$14:$C$135,C1217)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SUMIFS(RAB!$F$14:$F$135,RAB!$C$14:$C$135,C1218)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SUMIFS(RAB!$F$14:$F$135,RAB!$C$14:$C$135,C1219)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SUMIFS(RAB!$F$14:$F$135,RAB!$C$14:$C$135,C1220)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SUMIFS(RAB!$F$14:$F$135,RAB!$C$14:$C$135,C1221)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SUMIFS(RAB!$F$14:$F$135,RAB!$C$14:$C$135,C1222)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SUMIFS(RAB!$F$14:$F$135,RAB!$C$14:$C$135,C1223)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SUMIFS(RAB!$F$14:$F$135,RAB!$C$14:$C$135,C1224)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SUMIFS(RAB!$F$14:$F$135,RAB!$C$14:$C$135,C1225)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SUMIFS(RAB!$F$14:$F$135,RAB!$C$14:$C$135,C1226)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SUMIFS(RAB!$F$14:$F$135,RAB!$C$14:$C$135,C1227)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SUMIFS(RAB!$F$14:$F$135,RAB!$C$14:$C$135,C1228)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SUMIFS(RAB!$F$14:$F$135,RAB!$C$14:$C$135,C1229)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SUMIFS(RAB!$F$14:$F$135,RAB!$C$14:$C$135,C1230)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SUMIFS(RAB!$F$14:$F$135,RAB!$C$14:$C$135,C1231)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SUMIFS(RAB!$F$14:$F$135,RAB!$C$14:$C$135,C1232)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SUMIFS(RAB!$F$14:$F$135,RAB!$C$14:$C$135,C1233)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SUMIFS(RAB!$F$14:$F$135,RAB!$C$14:$C$135,C1234)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SUMIFS(RAB!$F$14:$F$135,RAB!$C$14:$C$135,C1235)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SUMIFS(RAB!$F$14:$F$135,RAB!$C$14:$C$135,C1236)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SUMIFS(RAB!$F$14:$F$135,RAB!$C$14:$C$135,C1237)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SUMIFS(RAB!$F$14:$F$135,RAB!$C$14:$C$135,C1238)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SUMIFS(RAB!$F$14:$F$135,RAB!$C$14:$C$135,C1239)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SUMIFS(RAB!$F$14:$F$135,RAB!$C$14:$C$135,C1240)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SUMIFS(RAB!$F$14:$F$135,RAB!$C$14:$C$135,C1241)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SUMIFS(RAB!$F$14:$F$135,RAB!$C$14:$C$135,C1242)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SUMIFS(RAB!$F$14:$F$135,RAB!$C$14:$C$135,C1243)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SUMIFS(RAB!$F$14:$F$135,RAB!$C$14:$C$135,C1244)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SUMIFS(RAB!$F$14:$F$135,RAB!$C$14:$C$135,C1245)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SUMIFS(RAB!$F$14:$F$135,RAB!$C$14:$C$135,C1246)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SUMIFS(RAB!$F$14:$F$135,RAB!$C$14:$C$135,C1247)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SUMIFS(RAB!$F$14:$F$135,RAB!$C$14:$C$135,C1248)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SUMIFS(RAB!$F$14:$F$135,RAB!$C$14:$C$135,C1249)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SUMIFS(RAB!$F$14:$F$135,RAB!$C$14:$C$135,C1250)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SUMIFS(RAB!$F$14:$F$135,RAB!$C$14:$C$135,C1251)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SUMIFS(RAB!$F$14:$F$135,RAB!$C$14:$C$135,C1252)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SUMIFS(RAB!$F$14:$F$135,RAB!$C$14:$C$135,C1253)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SUMIFS(RAB!$F$14:$F$135,RAB!$C$14:$C$135,C1254)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SUMIFS(RAB!$F$14:$F$135,RAB!$C$14:$C$135,C1255)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SUMIFS(RAB!$F$14:$F$135,RAB!$C$14:$C$135,C1256)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SUMIFS(RAB!$F$14:$F$135,RAB!$C$14:$C$135,C1257)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SUMIFS(RAB!$F$14:$F$135,RAB!$C$14:$C$135,C1258)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SUMIFS(RAB!$F$14:$F$135,RAB!$C$14:$C$135,C1259)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SUMIFS(RAB!$F$14:$F$135,RAB!$C$14:$C$135,C1260)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SUMIFS(RAB!$F$14:$F$135,RAB!$C$14:$C$135,C1261)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SUMIFS(RAB!$F$14:$F$135,RAB!$C$14:$C$135,C1262)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SUMIFS(RAB!$F$14:$F$135,RAB!$C$14:$C$135,C1263)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SUMIFS(RAB!$F$14:$F$135,RAB!$C$14:$C$135,C1264)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SUMIFS(RAB!$F$14:$F$135,RAB!$C$14:$C$135,C1265)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SUMIFS(RAB!$F$14:$F$135,RAB!$C$14:$C$135,C1266)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SUMIFS(RAB!$F$14:$F$135,RAB!$C$14:$C$135,C1267)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SUMIFS(RAB!$F$14:$F$135,RAB!$C$14:$C$135,C1268)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SUMIFS(RAB!$F$14:$F$135,RAB!$C$14:$C$135,C1269)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SUMIFS(RAB!$F$14:$F$135,RAB!$C$14:$C$135,C1270)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SUMIFS(RAB!$F$14:$F$135,RAB!$C$14:$C$135,C1271)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SUMIFS(RAB!$F$14:$F$135,RAB!$C$14:$C$135,C1272)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SUMIFS(RAB!$F$14:$F$135,RAB!$C$14:$C$135,C1273)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SUMIFS(RAB!$F$14:$F$135,RAB!$C$14:$C$135,C1274)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SUMIFS(RAB!$F$14:$F$135,RAB!$C$14:$C$135,C1275)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SUMIFS(RAB!$F$14:$F$135,RAB!$C$14:$C$135,C1276)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SUMIFS(RAB!$F$14:$F$135,RAB!$C$14:$C$135,C1277)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SUMIFS(RAB!$F$14:$F$135,RAB!$C$14:$C$135,C1278)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SUMIFS(RAB!$F$14:$F$135,RAB!$C$14:$C$135,C1279)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SUMIFS(RAB!$F$14:$F$135,RAB!$C$14:$C$135,C1280)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SUMIFS(RAB!$F$14:$F$135,RAB!$C$14:$C$135,C1281)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SUMIFS(RAB!$F$14:$F$135,RAB!$C$14:$C$135,C1282)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SUMIFS(RAB!$F$14:$F$135,RAB!$C$14:$C$135,C1283)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SUMIFS(RAB!$F$14:$F$135,RAB!$C$14:$C$135,C1284)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SUMIFS(RAB!$F$14:$F$135,RAB!$C$14:$C$135,C1285)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SUMIFS(RAB!$F$14:$F$135,RAB!$C$14:$C$135,C1286)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SUMIFS(RAB!$F$14:$F$135,RAB!$C$14:$C$135,C1287)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SUMIFS(RAB!$F$14:$F$135,RAB!$C$14:$C$135,C1288)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SUMIFS(RAB!$F$14:$F$135,RAB!$C$14:$C$135,C1289)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SUMIFS(RAB!$F$14:$F$135,RAB!$C$14:$C$135,C1290)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SUMIFS(RAB!$F$14:$F$135,RAB!$C$14:$C$135,C1291)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SUMIFS(RAB!$F$14:$F$135,RAB!$C$14:$C$135,C1292)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SUMIFS(RAB!$F$14:$F$135,RAB!$C$14:$C$135,C1293)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SUMIFS(RAB!$F$14:$F$135,RAB!$C$14:$C$135,C1294)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SUMIFS(RAB!$F$14:$F$135,RAB!$C$14:$C$135,C1295)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SUMIFS(RAB!$F$14:$F$135,RAB!$C$14:$C$135,C1296)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SUMIFS(RAB!$F$14:$F$135,RAB!$C$14:$C$135,C1297)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SUMIFS(RAB!$F$14:$F$135,RAB!$C$14:$C$135,C1298)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SUMIFS(RAB!$F$14:$F$135,RAB!$C$14:$C$135,C1299)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SUMIFS(RAB!$F$14:$F$135,RAB!$C$14:$C$135,C1300)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SUMIFS(RAB!$F$14:$F$135,RAB!$C$14:$C$135,C1301)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SUMIFS(RAB!$F$14:$F$135,RAB!$C$14:$C$135,C1302)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SUMIFS(RAB!$F$14:$F$135,RAB!$C$14:$C$135,C1303)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SUMIFS(RAB!$F$14:$F$135,RAB!$C$14:$C$135,C1304)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SUMIFS(RAB!$F$14:$F$135,RAB!$C$14:$C$135,C1305)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SUMIFS(RAB!$F$14:$F$135,RAB!$C$14:$C$135,C1306)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SUMIFS(RAB!$F$14:$F$135,RAB!$C$14:$C$135,C1307)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SUMIFS(RAB!$F$14:$F$135,RAB!$C$14:$C$135,C1308)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SUMIFS(RAB!$F$14:$F$135,RAB!$C$14:$C$135,C1309)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SUMIFS(RAB!$F$14:$F$135,RAB!$C$14:$C$135,C1310)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SUMIFS(RAB!$F$14:$F$135,RAB!$C$14:$C$135,C1311)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SUMIFS(RAB!$F$14:$F$135,RAB!$C$14:$C$135,C1312)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SUMIFS(RAB!$F$14:$F$135,RAB!$C$14:$C$135,C1313)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SUMIFS(RAB!$F$14:$F$135,RAB!$C$14:$C$135,C1314)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SUMIFS(RAB!$F$14:$F$135,RAB!$C$14:$C$135,C1315)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SUMIFS(RAB!$F$14:$F$135,RAB!$C$14:$C$135,C1316)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SUMIFS(RAB!$F$14:$F$135,RAB!$C$14:$C$135,C1317)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SUMIFS(RAB!$F$14:$F$135,RAB!$C$14:$C$135,C1318)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SUMIFS(RAB!$F$14:$F$135,RAB!$C$14:$C$135,C1319)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SUMIFS(RAB!$F$14:$F$135,RAB!$C$14:$C$135,C1320)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1127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PD GONDO PRAJITNO (GSG DISPORA) 7,7-66KVA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DANYANG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13530400</v>
      </c>
      <c r="J38" s="55">
        <f ca="1">SUM(J14:J37)</f>
        <v>0</v>
      </c>
      <c r="K38" s="55">
        <f ca="1">SUM(K14:K37)</f>
        <v>13530400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1353040</v>
      </c>
      <c r="J39" s="60">
        <f ca="1">J38*0.1</f>
        <v>0</v>
      </c>
      <c r="K39" s="60">
        <f ca="1">K38*0.1</f>
        <v>1353040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0" t="s">
        <v>463</v>
      </c>
      <c r="D40" s="540"/>
      <c r="E40" s="540"/>
      <c r="F40" s="540"/>
      <c r="G40" s="61" t="s">
        <v>9</v>
      </c>
      <c r="H40" s="78">
        <f ca="1">SUM(H38:H39)</f>
        <v>0</v>
      </c>
      <c r="I40" s="78">
        <f ca="1">SUM(I38:I39)</f>
        <v>14883440</v>
      </c>
      <c r="J40" s="61">
        <f ca="1">SUM(J38:J39)</f>
        <v>0</v>
      </c>
      <c r="K40" s="61">
        <f ca="1">SUM(K38:K39)</f>
        <v>14883440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SUMIFS(RAB!$F$14:$F$135,RAB!$C$14:$C$135,'REKAP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SUMIFS(RAB!$F$14:$F$135,RAB!$C$14:$C$135,'REKAP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SUMIFS(RAB!$F$14:$F$135,RAB!$C$14:$C$135,'REKAP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SUMIFS(RAB!$F$14:$F$135,RAB!$C$14:$C$135,'REKAP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SUMIFS(RAB!$F$14:$F$135,RAB!$C$14:$C$135,'REKAP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SUMIFS(RAB!$F$14:$F$135,RAB!$C$14:$C$135,'REKAP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SUMIFS(RAB!$F$14:$F$135,RAB!$C$14:$C$135,'REKAP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SUMIFS(RAB!$F$14:$F$135,RAB!$C$14:$C$135,'REKAP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SUMIFS(RAB!$F$14:$F$135,RAB!$C$14:$C$135,'REKAP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SUMIFS(RAB!$F$14:$F$135,RAB!$C$14:$C$135,'REKAP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SUMIFS(RAB!$F$14:$F$135,RAB!$C$14:$C$135,'REKAP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SUMIFS(RAB!$F$14:$F$135,RAB!$C$14:$C$135,'REKAP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SUMIFS(RAB!$F$14:$F$135,RAB!$C$14:$C$135,'REKAP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SUMIFS(RAB!$F$14:$F$135,RAB!$C$14:$C$135,'REKAP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SUMIFS(RAB!$F$14:$F$135,RAB!$C$14:$C$135,'REKAP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SUMIFS(RAB!$F$14:$F$135,RAB!$C$14:$C$135,'REKAP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SUMIFS(RAB!$F$14:$F$135,RAB!$C$14:$C$135,'REKAP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SUMIFS(RAB!$F$14:$F$135,RAB!$C$14:$C$135,'REKAP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SUMIFS(RAB!$F$14:$F$135,RAB!$C$14:$C$135,'REKAP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SUMIFS(RAB!$F$14:$F$135,RAB!$C$14:$C$135,'REKAP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6" t="s">
        <v>1034</v>
      </c>
      <c r="C4" s="556"/>
      <c r="D4" s="556"/>
      <c r="E4" s="556"/>
      <c r="F4" s="556"/>
      <c r="G4" s="556"/>
      <c r="H4" s="556"/>
      <c r="I4" s="556"/>
      <c r="J4" s="556"/>
      <c r="K4" s="55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PD GONDO PRAJITNO (GSG DISPORA) 7,7-66KVA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DANYANG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7" t="s">
        <v>0</v>
      </c>
      <c r="C11" s="559" t="s">
        <v>1</v>
      </c>
      <c r="D11" s="562" t="s">
        <v>42</v>
      </c>
      <c r="E11" s="562" t="s">
        <v>43</v>
      </c>
      <c r="F11" s="562" t="s">
        <v>2</v>
      </c>
      <c r="G11" s="563" t="s">
        <v>41</v>
      </c>
      <c r="H11" s="562" t="s">
        <v>3</v>
      </c>
      <c r="I11" s="562"/>
      <c r="J11" s="562"/>
      <c r="K11" s="566"/>
      <c r="M11" s="33"/>
      <c r="N11" s="33"/>
      <c r="O11" s="33"/>
      <c r="P11" s="33"/>
      <c r="R11" s="34"/>
      <c r="S11" s="74"/>
      <c r="T11" s="74"/>
    </row>
    <row r="12" spans="1:21" ht="15" customHeight="1">
      <c r="B12" s="558"/>
      <c r="C12" s="560"/>
      <c r="D12" s="552"/>
      <c r="E12" s="552"/>
      <c r="F12" s="552"/>
      <c r="G12" s="564"/>
      <c r="H12" s="554" t="s">
        <v>46</v>
      </c>
      <c r="I12" s="554" t="s">
        <v>5</v>
      </c>
      <c r="J12" s="552" t="s">
        <v>47</v>
      </c>
      <c r="K12" s="55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8"/>
      <c r="C13" s="561"/>
      <c r="D13" s="552"/>
      <c r="E13" s="552"/>
      <c r="F13" s="552"/>
      <c r="G13" s="565"/>
      <c r="H13" s="555"/>
      <c r="I13" s="555"/>
      <c r="J13" s="552"/>
      <c r="K13" s="55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2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113677200</v>
      </c>
      <c r="I18" s="42">
        <f t="shared" ca="1" si="2"/>
        <v>0</v>
      </c>
      <c r="J18" s="42">
        <f t="shared" ca="1" si="3"/>
        <v>0</v>
      </c>
      <c r="K18" s="43">
        <f t="shared" ca="1" si="0"/>
        <v>113677200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6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5089500</v>
      </c>
      <c r="I19" s="42">
        <f t="shared" ca="1" si="2"/>
        <v>0</v>
      </c>
      <c r="J19" s="42">
        <f t="shared" ca="1" si="3"/>
        <v>0</v>
      </c>
      <c r="K19" s="43">
        <f t="shared" ca="1" si="0"/>
        <v>5089500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6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4355400</v>
      </c>
      <c r="I20" s="42">
        <f t="shared" ca="1" si="2"/>
        <v>0</v>
      </c>
      <c r="J20" s="42">
        <f t="shared" ca="1" si="3"/>
        <v>0</v>
      </c>
      <c r="K20" s="43">
        <f t="shared" ca="1" si="0"/>
        <v>4355400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18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255600</v>
      </c>
      <c r="I21" s="42">
        <f t="shared" ca="1" si="2"/>
        <v>0</v>
      </c>
      <c r="J21" s="42">
        <f t="shared" ca="1" si="3"/>
        <v>0</v>
      </c>
      <c r="K21" s="43">
        <f t="shared" ca="1" si="0"/>
        <v>255600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520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28340000</v>
      </c>
      <c r="I22" s="42">
        <f t="shared" ca="1" si="2"/>
        <v>0</v>
      </c>
      <c r="J22" s="42">
        <f t="shared" ca="1" si="3"/>
        <v>0</v>
      </c>
      <c r="K22" s="43">
        <f t="shared" ca="1" si="0"/>
        <v>28340000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166866200</v>
      </c>
      <c r="I168" s="55">
        <f ca="1">SUM(I14:I167)</f>
        <v>0</v>
      </c>
      <c r="J168" s="55">
        <f ca="1">SUM(J14:J167)</f>
        <v>0</v>
      </c>
      <c r="K168" s="55">
        <f ca="1">SUM(K14:K167)</f>
        <v>166866200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16686620</v>
      </c>
      <c r="I169" s="60">
        <f ca="1">I168*0.1</f>
        <v>0</v>
      </c>
      <c r="J169" s="60">
        <f ca="1">J168*0.1</f>
        <v>0</v>
      </c>
      <c r="K169" s="60">
        <f ca="1">K168*0.1</f>
        <v>16686620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0" t="s">
        <v>463</v>
      </c>
      <c r="D170" s="540"/>
      <c r="E170" s="540"/>
      <c r="F170" s="540"/>
      <c r="G170" s="61" t="s">
        <v>9</v>
      </c>
      <c r="H170" s="78">
        <f ca="1">SUM(H168:H169)</f>
        <v>183552820</v>
      </c>
      <c r="I170" s="78">
        <f ca="1">SUM(I168:I169)</f>
        <v>0</v>
      </c>
      <c r="J170" s="61">
        <f ca="1">SUM(J168:J169)</f>
        <v>0</v>
      </c>
      <c r="K170" s="61">
        <f ca="1">SUM(K168:K169)</f>
        <v>183552820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SUMIFS(RAB!$F$14:$F$135,RAB!$C$14:$C$135,C224)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SUMIFS(RAB!$F$14:$F$135,RAB!$C$14:$C$135,C225)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SUMIFS(RAB!$F$14:$F$135,RAB!$C$14:$C$135,C226)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SUMIFS(RAB!$F$14:$F$135,RAB!$C$14:$C$135,C227)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SUMIFS(RAB!$F$14:$F$135,RAB!$C$14:$C$135,C228)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SUMIFS(RAB!$F$14:$F$135,RAB!$C$14:$C$135,C229)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SUMIFS(RAB!$F$14:$F$135,RAB!$C$14:$C$135,C230)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SUMIFS(RAB!$F$14:$F$135,RAB!$C$14:$C$135,C231)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SUMIFS(RAB!$F$14:$F$135,RAB!$C$14:$C$135,C232)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SUMIFS(RAB!$F$14:$F$135,RAB!$C$14:$C$135,C233)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SUMIFS(RAB!$F$14:$F$135,RAB!$C$14:$C$135,C234)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SUMIFS(RAB!$F$14:$F$135,RAB!$C$14:$C$135,C235)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SUMIFS(RAB!$F$14:$F$135,RAB!$C$14:$C$135,C236)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SUMIFS(RAB!$F$14:$F$135,RAB!$C$14:$C$135,C237)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SUMIFS(RAB!$F$14:$F$135,RAB!$C$14:$C$135,C238)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SUMIFS(RAB!$F$14:$F$135,RAB!$C$14:$C$135,C239)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SUMIFS(RAB!$F$14:$F$135,RAB!$C$14:$C$135,C240)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SUMIFS(RAB!$F$14:$F$135,RAB!$C$14:$C$135,C241)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SUMIFS(RAB!$F$14:$F$135,RAB!$C$14:$C$135,C242)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SUMIFS(RAB!$F$14:$F$135,RAB!$C$14:$C$135,C243)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SUMIFS(RAB!$F$14:$F$135,RAB!$C$14:$C$135,C244)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SUMIFS(RAB!$F$14:$F$135,RAB!$C$14:$C$135,C245)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SUMIFS(RAB!$F$14:$F$135,RAB!$C$14:$C$135,C246)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SUMIFS(RAB!$F$14:$F$135,RAB!$C$14:$C$135,C247)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SUMIFS(RAB!$F$14:$F$135,RAB!$C$14:$C$135,C248)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SUMIFS(RAB!$F$14:$F$135,RAB!$C$14:$C$135,C249)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SUMIFS(RAB!$F$14:$F$135,RAB!$C$14:$C$135,C250)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SUMIFS(RAB!$F$14:$F$135,RAB!$C$14:$C$135,C251)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SUMIFS(RAB!$F$14:$F$135,RAB!$C$14:$C$135,C252)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SUMIFS(RAB!$F$14:$F$135,RAB!$C$14:$C$135,C253)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SUMIFS(RAB!$F$14:$F$135,RAB!$C$14:$C$135,C254)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SUMIFS(RAB!$F$14:$F$135,RAB!$C$14:$C$135,C255)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SUMIFS(RAB!$F$14:$F$135,RAB!$C$14:$C$135,C256)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SUMIFS(RAB!$F$14:$F$135,RAB!$C$14:$C$135,C257)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SUMIFS(RAB!$F$14:$F$135,RAB!$C$14:$C$135,C258)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SUMIFS(RAB!$F$14:$F$135,RAB!$C$14:$C$135,C259)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SUMIFS(RAB!$F$14:$F$135,RAB!$C$14:$C$135,C260)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SUMIFS(RAB!$F$14:$F$135,RAB!$C$14:$C$135,C261)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SUMIFS(RAB!$F$14:$F$135,RAB!$C$14:$C$135,C262)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SUMIFS(RAB!$F$14:$F$135,RAB!$C$14:$C$135,C263)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SUMIFS(RAB!$F$14:$F$135,RAB!$C$14:$C$135,C264)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SUMIFS(RAB!$F$14:$F$135,RAB!$C$14:$C$135,C265)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SUMIFS(RAB!$F$14:$F$135,RAB!$C$14:$C$135,C266)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SUMIFS(RAB!$F$14:$F$135,RAB!$C$14:$C$135,C267)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SUMIFS(RAB!$F$14:$F$135,RAB!$C$14:$C$135,C268)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SUMIFS(RAB!$F$14:$F$135,RAB!$C$14:$C$135,C269)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SUMIFS(RAB!$F$14:$F$135,RAB!$C$14:$C$135,C270)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SUMIFS(RAB!$F$14:$F$135,RAB!$C$14:$C$135,C271)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SUMIFS(RAB!$F$14:$F$135,RAB!$C$14:$C$135,C272)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SUMIFS(RAB!$F$14:$F$135,RAB!$C$14:$C$135,C273)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SUMIFS(RAB!$F$14:$F$135,RAB!$C$14:$C$135,C274)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SUMIFS(RAB!$F$14:$F$135,RAB!$C$14:$C$135,C275)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SUMIFS(RAB!$F$14:$F$135,RAB!$C$14:$C$135,C276)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SUMIFS(RAB!$F$14:$F$135,RAB!$C$14:$C$135,C277)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SUMIFS(RAB!$F$14:$F$135,RAB!$C$14:$C$135,C278)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SUMIFS(RAB!$F$14:$F$135,RAB!$C$14:$C$135,C279)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SUMIFS(RAB!$F$14:$F$135,RAB!$C$14:$C$135,C280)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SUMIFS(RAB!$F$14:$F$135,RAB!$C$14:$C$135,C281)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SUMIFS(RAB!$F$14:$F$135,RAB!$C$14:$C$135,C282)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SUMIFS(RAB!$F$14:$F$135,RAB!$C$14:$C$135,C283)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SUMIFS(RAB!$F$14:$F$135,RAB!$C$14:$C$135,C284)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SUMIFS(RAB!$F$14:$F$135,RAB!$C$14:$C$135,C285)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SUMIFS(RAB!$F$14:$F$135,RAB!$C$14:$C$135,C286)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SUMIFS(RAB!$F$14:$F$135,RAB!$C$14:$C$135,C287)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SUMIFS(RAB!$F$14:$F$135,RAB!$C$14:$C$135,C288)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SUMIFS(RAB!$F$14:$F$135,RAB!$C$14:$C$135,C289)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SUMIFS(RAB!$F$14:$F$135,RAB!$C$14:$C$135,C290)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SUMIFS(RAB!$F$14:$F$135,RAB!$C$14:$C$135,C291)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SUMIFS(RAB!$F$14:$F$135,RAB!$C$14:$C$135,C292)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SUMIFS(RAB!$F$14:$F$135,RAB!$C$14:$C$135,C293)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SUMIFS(RAB!$F$14:$F$135,RAB!$C$14:$C$135,C294)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SUMIFS(RAB!$F$14:$F$135,RAB!$C$14:$C$135,C295)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SUMIFS(RAB!$F$14:$F$135,RAB!$C$14:$C$135,C296)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SUMIFS(RAB!$F$14:$F$135,RAB!$C$14:$C$135,C297)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SUMIFS(RAB!$F$14:$F$135,RAB!$C$14:$C$135,C298)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SUMIFS(RAB!$F$14:$F$135,RAB!$C$14:$C$135,C299)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SUMIFS(RAB!$F$14:$F$135,RAB!$C$14:$C$135,C300)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SUMIFS(RAB!$F$14:$F$135,RAB!$C$14:$C$135,C301)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SUMIFS(RAB!$F$14:$F$135,RAB!$C$14:$C$135,C302)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SUMIFS(RAB!$F$14:$F$135,RAB!$C$14:$C$135,C303)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SUMIFS(RAB!$F$14:$F$135,RAB!$C$14:$C$135,C304)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SUMIFS(RAB!$F$14:$F$135,RAB!$C$14:$C$135,C305)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SUMIFS(RAB!$F$14:$F$135,RAB!$C$14:$C$135,C306)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SUMIFS(RAB!$F$14:$F$135,RAB!$C$14:$C$135,C307)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SUMIFS(RAB!$F$14:$F$135,RAB!$C$14:$C$135,C308)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SUMIFS(RAB!$F$14:$F$135,RAB!$C$14:$C$135,C309)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SUMIFS(RAB!$F$14:$F$135,RAB!$C$14:$C$135,C310)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SUMIFS(RAB!$F$14:$F$135,RAB!$C$14:$C$135,C311)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SUMIFS(RAB!$F$14:$F$135,RAB!$C$14:$C$135,C312)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SUMIFS(RAB!$F$14:$F$135,RAB!$C$14:$C$135,C313)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SUMIFS(RAB!$F$14:$F$135,RAB!$C$14:$C$135,C314)</f>
        <v>2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SUMIFS(RAB!$F$14:$F$135,RAB!$C$14:$C$135,C315)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SUMIFS(RAB!$F$14:$F$135,RAB!$C$14:$C$135,C316)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SUMIFS(RAB!$F$14:$F$135,RAB!$C$14:$C$135,C317)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SUMIFS(RAB!$F$14:$F$135,RAB!$C$14:$C$135,C318)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SUMIFS(RAB!$F$14:$F$135,RAB!$C$14:$C$135,C319)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SUMIFS(RAB!$F$14:$F$135,RAB!$C$14:$C$135,C320)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SUMIFS(RAB!$F$14:$F$135,RAB!$C$14:$C$135,C321)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SUMIFS(RAB!$F$14:$F$135,RAB!$C$14:$C$135,C322)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SUMIFS(RAB!$F$14:$F$135,RAB!$C$14:$C$135,C323)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SUMIFS(RAB!$F$14:$F$135,RAB!$C$14:$C$135,C324)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SUMIFS(RAB!$F$14:$F$135,RAB!$C$14:$C$135,C325)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SUMIFS(RAB!$F$14:$F$135,RAB!$C$14:$C$135,C326)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SUMIFS(RAB!$F$14:$F$135,RAB!$C$14:$C$135,C327)</f>
        <v>6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SUMIFS(RAB!$F$14:$F$135,RAB!$C$14:$C$135,C328)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SUMIFS(RAB!$F$14:$F$135,RAB!$C$14:$C$135,C329)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SUMIFS(RAB!$F$14:$F$135,RAB!$C$14:$C$135,C330)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SUMIFS(RAB!$F$14:$F$135,RAB!$C$14:$C$135,C331)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SUMIFS(RAB!$F$14:$F$135,RAB!$C$14:$C$135,C332)</f>
        <v>6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SUMIFS(RAB!$F$14:$F$135,RAB!$C$14:$C$135,C333)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SUMIFS(RAB!$F$14:$F$135,RAB!$C$14:$C$135,C334)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SUMIFS(RAB!$F$14:$F$135,RAB!$C$14:$C$135,C335)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SUMIFS(RAB!$F$14:$F$135,RAB!$C$14:$C$135,C336)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SUMIFS(RAB!$F$14:$F$135,RAB!$C$14:$C$135,C337)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SUMIFS(RAB!$F$14:$F$135,RAB!$C$14:$C$135,C338)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SUMIFS(RAB!$F$14:$F$135,RAB!$C$14:$C$135,C339)</f>
        <v>18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SUMIFS(RAB!$F$14:$F$135,RAB!$C$14:$C$135,C340)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SUMIFS(RAB!$F$14:$F$135,RAB!$C$14:$C$135,C341)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SUMIFS(RAB!$F$14:$F$135,RAB!$C$14:$C$135,C342)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SUMIFS(RAB!$F$14:$F$135,RAB!$C$14:$C$135,C343)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SUMIFS(RAB!$F$14:$F$135,RAB!$C$14:$C$135,C344)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SUMIFS(RAB!$F$14:$F$135,RAB!$C$14:$C$135,C345)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SUMIFS(RAB!$F$14:$F$135,RAB!$C$14:$C$135,C346)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SUMIFS(RAB!$F$14:$F$135,RAB!$C$14:$C$135,C347)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SUMIFS(RAB!$F$14:$F$135,RAB!$C$14:$C$135,C348)</f>
        <v>520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SUMIFS(RAB!$F$14:$F$135,RAB!$C$14:$C$135,C349)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SUMIFS(RAB!$F$14:$F$135,RAB!$C$14:$C$135,C350)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SUMIFS(RAB!$F$14:$F$135,RAB!$C$14:$C$135,C351)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SUMIFS(RAB!$F$14:$F$135,RAB!$C$14:$C$135,C352)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SUMIFS(RAB!$F$14:$F$135,RAB!$C$14:$C$135,C353)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SUMIFS(RAB!$F$14:$F$135,RAB!$C$14:$C$135,C354)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SUMIFS(RAB!$F$14:$F$135,RAB!$C$14:$C$135,C355)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SUMIFS(RAB!$F$14:$F$135,RAB!$C$14:$C$135,C356)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SUMIFS(RAB!$F$14:$F$135,RAB!$C$14:$C$135,C357)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SUMIFS(RAB!$F$14:$F$135,RAB!$C$14:$C$135,C358)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SUMIFS(RAB!$F$14:$F$135,RAB!$C$14:$C$135,C359)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SUMIFS(RAB!$F$14:$F$135,RAB!$C$14:$C$135,C360)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SUMIFS(RAB!$F$14:$F$135,RAB!$C$14:$C$135,C361)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SUMIFS(RAB!$F$14:$F$135,RAB!$C$14:$C$135,C362)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SUMIFS(RAB!$F$14:$F$135,RAB!$C$14:$C$135,C363)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SUMIFS(RAB!$F$14:$F$135,RAB!$C$14:$C$135,C364)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SUMIFS(RAB!$F$14:$F$135,RAB!$C$14:$C$135,C365)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SUMIFS(RAB!$F$14:$F$135,RAB!$C$14:$C$135,C366)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SUMIFS(RAB!$F$14:$F$135,RAB!$C$14:$C$135,C367)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SUMIFS(RAB!$F$14:$F$135,RAB!$C$14:$C$135,C368)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SUMIFS(RAB!$F$14:$F$135,RAB!$C$14:$C$135,C369)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SUMIFS(RAB!$F$14:$F$135,RAB!$C$14:$C$135,C370)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SUMIFS(RAB!$F$14:$F$135,RAB!$C$14:$C$135,C371)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SUMIFS(RAB!$F$14:$F$135,RAB!$C$14:$C$135,C372)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SUMIFS(RAB!$F$14:$F$135,RAB!$C$14:$C$135,C373)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7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8" t="s">
        <v>41</v>
      </c>
      <c r="C2" s="56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9" t="s">
        <v>23</v>
      </c>
      <c r="C4" s="570" t="s">
        <v>1012</v>
      </c>
      <c r="D4" s="570" t="s">
        <v>42</v>
      </c>
      <c r="E4" s="569" t="s">
        <v>43</v>
      </c>
      <c r="F4" s="108" t="s">
        <v>1599</v>
      </c>
      <c r="G4" s="108" t="s">
        <v>1598</v>
      </c>
      <c r="H4" s="567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9"/>
      <c r="C5" s="570"/>
      <c r="D5" s="570"/>
      <c r="E5" s="569"/>
      <c r="F5" s="93"/>
      <c r="G5" s="93"/>
      <c r="H5" s="567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(IF(D8="JASA",G8*'[93]DETAIL USULAN'!$K$58,0))+(IF(D8="HDW",G8*'[93]DETAIL USULAN'!$J$58,0))+(IF(D8="MDU",G8*'[93]DETAIL USULAN'!$I$58,0))+(IF(D8="MDU-KD",G8*'[93]DETAIL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5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6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6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4" priority="4" operator="equal">
      <formula>0</formula>
    </cfRule>
  </conditionalFormatting>
  <conditionalFormatting sqref="B217 D217:G217">
    <cfRule type="cellIs" dxfId="33" priority="11" operator="equal">
      <formula>0</formula>
    </cfRule>
  </conditionalFormatting>
  <conditionalFormatting sqref="B8:C135">
    <cfRule type="cellIs" dxfId="32" priority="66" operator="equal">
      <formula>0</formula>
    </cfRule>
  </conditionalFormatting>
  <conditionalFormatting sqref="B216:G216">
    <cfRule type="cellIs" dxfId="31" priority="16" operator="equal">
      <formula>0</formula>
    </cfRule>
  </conditionalFormatting>
  <conditionalFormatting sqref="B218:G1496">
    <cfRule type="cellIs" dxfId="30" priority="1" operator="equal">
      <formula>0</formula>
    </cfRule>
  </conditionalFormatting>
  <conditionalFormatting sqref="C143:G149">
    <cfRule type="cellIs" dxfId="29" priority="20" operator="equal">
      <formula>0</formula>
    </cfRule>
  </conditionalFormatting>
  <conditionalFormatting sqref="D9:G142">
    <cfRule type="cellIs" dxfId="28" priority="26" operator="equal">
      <formula>0</formula>
    </cfRule>
  </conditionalFormatting>
  <conditionalFormatting sqref="D1:IV5 A1:C7 D6:K6 H1458:IV1460 H1461:XFD1488 H1489:H1496 I1489:XFD1497 A1497:H1497 A1498:XFD65539">
    <cfRule type="cellIs" dxfId="27" priority="178" operator="equal">
      <formula>0</formula>
    </cfRule>
  </conditionalFormatting>
  <conditionalFormatting sqref="D7:IV8 C136:C142 B136:B149 B150:G213 B214:B215 D214:G215">
    <cfRule type="cellIs" dxfId="26" priority="77" operator="equal">
      <formula>0</formula>
    </cfRule>
  </conditionalFormatting>
  <conditionalFormatting sqref="H9:H1421">
    <cfRule type="cellIs" dxfId="25" priority="3" operator="equal">
      <formula>0</formula>
    </cfRule>
  </conditionalFormatting>
  <conditionalFormatting sqref="H1422:I1457">
    <cfRule type="cellIs" dxfId="24" priority="143" operator="equal">
      <formula>0</formula>
    </cfRule>
  </conditionalFormatting>
  <conditionalFormatting sqref="I108:I1421">
    <cfRule type="cellIs" dxfId="23" priority="2" operator="equal">
      <formula>0</formula>
    </cfRule>
  </conditionalFormatting>
  <conditionalFormatting sqref="I9:IV107">
    <cfRule type="cellIs" dxfId="22" priority="153" operator="equal">
      <formula>0</formula>
    </cfRule>
  </conditionalFormatting>
  <conditionalFormatting sqref="J108:IV1457">
    <cfRule type="cellIs" dxfId="21" priority="5" operator="equal">
      <formula>0</formula>
    </cfRule>
  </conditionalFormatting>
  <conditionalFormatting sqref="M6:IV6">
    <cfRule type="cellIs" dxfId="20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N14" sqref="N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75" t="s">
        <v>1453</v>
      </c>
      <c r="C2" s="575"/>
      <c r="D2" s="575"/>
      <c r="E2" s="57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80" t="s">
        <v>1528</v>
      </c>
      <c r="C4" s="581"/>
      <c r="D4" s="581"/>
      <c r="E4" s="582"/>
      <c r="F4" s="372"/>
      <c r="G4" s="372"/>
      <c r="H4" s="373"/>
      <c r="I4" s="607" t="s">
        <v>1529</v>
      </c>
      <c r="J4" s="608"/>
      <c r="K4" s="608"/>
      <c r="L4" s="609"/>
    </row>
    <row r="5" spans="1:12" ht="34.5" customHeight="1">
      <c r="A5" s="193"/>
      <c r="B5" s="375" t="s">
        <v>1378</v>
      </c>
      <c r="C5" s="224" t="s">
        <v>9</v>
      </c>
      <c r="D5" s="576" t="str">
        <f>DATA!D14</f>
        <v>PD GONDO PRAJITNO (GSG DISPORA) 7,7-66KVA</v>
      </c>
      <c r="E5" s="577"/>
      <c r="F5" s="197"/>
      <c r="G5" s="197"/>
      <c r="I5" s="376" t="s">
        <v>1378</v>
      </c>
      <c r="J5" s="224" t="s">
        <v>9</v>
      </c>
      <c r="K5" s="610" t="str">
        <f>D5</f>
        <v>PD GONDO PRAJITNO (GSG DISPORA) 7,7-66KVA</v>
      </c>
      <c r="L5" s="611"/>
    </row>
    <row r="6" spans="1:12" ht="31.5" customHeight="1">
      <c r="A6" s="193"/>
      <c r="B6" s="375" t="s">
        <v>1525</v>
      </c>
      <c r="C6" s="224" t="s">
        <v>9</v>
      </c>
      <c r="D6" s="585">
        <f>DATA!D17*1000</f>
        <v>7700</v>
      </c>
      <c r="E6" s="586"/>
      <c r="F6" s="197"/>
      <c r="G6" s="197"/>
      <c r="I6" s="376" t="s">
        <v>1526</v>
      </c>
      <c r="J6" s="224" t="s">
        <v>9</v>
      </c>
      <c r="K6" s="612">
        <f>DATA!D20*1000</f>
        <v>66000</v>
      </c>
      <c r="L6" s="613"/>
    </row>
    <row r="7" spans="1:12" ht="30.75" customHeight="1">
      <c r="A7" s="193"/>
      <c r="B7" s="375" t="s">
        <v>1440</v>
      </c>
      <c r="C7" s="224" t="s">
        <v>9</v>
      </c>
      <c r="D7" s="583">
        <f>DATA!D18</f>
        <v>1</v>
      </c>
      <c r="E7" s="584"/>
      <c r="F7" s="374" t="s">
        <v>1452</v>
      </c>
      <c r="I7" s="376" t="s">
        <v>1440</v>
      </c>
      <c r="J7" s="224" t="s">
        <v>9</v>
      </c>
      <c r="K7" s="614">
        <f>DATA!D21</f>
        <v>3</v>
      </c>
      <c r="L7" s="615"/>
    </row>
    <row r="8" spans="1:12" ht="51" customHeight="1">
      <c r="A8" s="193"/>
      <c r="B8" s="375" t="s">
        <v>1441</v>
      </c>
      <c r="C8" s="224" t="s">
        <v>9</v>
      </c>
      <c r="D8" s="583">
        <f>DATA!D19</f>
        <v>220</v>
      </c>
      <c r="E8" s="584"/>
      <c r="F8" s="374" t="s">
        <v>1452</v>
      </c>
      <c r="G8" s="369">
        <v>220</v>
      </c>
      <c r="I8" s="376" t="s">
        <v>1441</v>
      </c>
      <c r="J8" s="224" t="s">
        <v>9</v>
      </c>
      <c r="K8" s="614">
        <f>DATA!D22</f>
        <v>380</v>
      </c>
      <c r="L8" s="615"/>
    </row>
    <row r="9" spans="1:12" ht="30" customHeight="1" thickBot="1">
      <c r="A9" s="193"/>
      <c r="B9" s="381" t="s">
        <v>1537</v>
      </c>
      <c r="C9" s="371" t="s">
        <v>9</v>
      </c>
      <c r="D9" s="578">
        <f>IF(D7=1,D6/(380/3^0.5),(D6/(380*3^0.5)))</f>
        <v>35.096818995474621</v>
      </c>
      <c r="E9" s="579"/>
      <c r="F9" s="196"/>
      <c r="G9" s="370">
        <v>380</v>
      </c>
      <c r="I9" s="382" t="s">
        <v>1537</v>
      </c>
      <c r="J9" s="371" t="s">
        <v>9</v>
      </c>
      <c r="K9" s="616">
        <f>IF(K7=1,K6/(380/3^0.5),(K6/(380*3^0.5)))</f>
        <v>100.27662570135607</v>
      </c>
      <c r="L9" s="617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87"/>
      <c r="E12" s="588"/>
      <c r="F12" s="197"/>
      <c r="G12" s="197"/>
      <c r="I12" s="398" t="s">
        <v>1530</v>
      </c>
      <c r="J12" s="399" t="s">
        <v>9</v>
      </c>
      <c r="K12" s="587" t="s">
        <v>1648</v>
      </c>
      <c r="L12" s="588"/>
    </row>
    <row r="13" spans="1:12" ht="31.5" customHeight="1">
      <c r="A13" s="193"/>
      <c r="B13" s="406" t="s">
        <v>1379</v>
      </c>
      <c r="C13" s="386" t="s">
        <v>9</v>
      </c>
      <c r="D13" s="591"/>
      <c r="E13" s="592"/>
      <c r="F13" s="197"/>
      <c r="G13" s="197"/>
      <c r="I13" s="400" t="s">
        <v>1379</v>
      </c>
      <c r="J13" s="386" t="s">
        <v>9</v>
      </c>
      <c r="K13" s="591" t="s">
        <v>1649</v>
      </c>
      <c r="L13" s="592"/>
    </row>
    <row r="14" spans="1:12" ht="30.75" customHeight="1">
      <c r="A14" s="193"/>
      <c r="B14" s="406" t="s">
        <v>1531</v>
      </c>
      <c r="C14" s="386" t="s">
        <v>9</v>
      </c>
      <c r="D14" s="599"/>
      <c r="E14" s="600"/>
      <c r="F14" s="374" t="s">
        <v>1452</v>
      </c>
      <c r="G14" s="378">
        <v>50</v>
      </c>
      <c r="I14" s="400" t="s">
        <v>1531</v>
      </c>
      <c r="J14" s="386" t="s">
        <v>9</v>
      </c>
      <c r="K14" s="601">
        <v>100</v>
      </c>
      <c r="L14" s="602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603">
        <v>0</v>
      </c>
      <c r="E16" s="604"/>
      <c r="F16" s="374"/>
      <c r="G16" s="378">
        <v>160</v>
      </c>
      <c r="I16" s="400" t="s">
        <v>1533</v>
      </c>
      <c r="J16" s="386" t="s">
        <v>9</v>
      </c>
      <c r="K16" s="605">
        <f>K9</f>
        <v>100.27662570135607</v>
      </c>
      <c r="L16" s="606"/>
    </row>
    <row r="17" spans="1:12" ht="34.5" customHeight="1">
      <c r="A17" s="193"/>
      <c r="B17" s="406" t="s">
        <v>1534</v>
      </c>
      <c r="C17" s="386" t="s">
        <v>9</v>
      </c>
      <c r="D17" s="593">
        <f>IF(D15=1,D14/(20/3^0.5),(D14/(20*3^0.5)))</f>
        <v>0</v>
      </c>
      <c r="E17" s="594"/>
      <c r="F17" s="374" t="s">
        <v>1452</v>
      </c>
      <c r="G17" s="379">
        <v>200</v>
      </c>
      <c r="I17" s="400" t="s">
        <v>1534</v>
      </c>
      <c r="J17" s="386" t="s">
        <v>9</v>
      </c>
      <c r="K17" s="597">
        <f>IF(K15=1,K14/(20/3^0.5),(K14/(20*3^0.5)))</f>
        <v>2.8867513459481291</v>
      </c>
      <c r="L17" s="598"/>
    </row>
    <row r="18" spans="1:12" ht="34.5" customHeight="1">
      <c r="A18" s="193"/>
      <c r="B18" s="406" t="s">
        <v>1535</v>
      </c>
      <c r="C18" s="386" t="s">
        <v>9</v>
      </c>
      <c r="D18" s="593">
        <f>IF(D15=1,D14/(380/3^0.5),(D14/(380*3^0.5)))*1000</f>
        <v>0</v>
      </c>
      <c r="E18" s="594"/>
      <c r="F18" s="374" t="s">
        <v>1452</v>
      </c>
      <c r="G18" s="379">
        <v>250</v>
      </c>
      <c r="I18" s="400" t="s">
        <v>1535</v>
      </c>
      <c r="J18" s="386" t="s">
        <v>9</v>
      </c>
      <c r="K18" s="597">
        <f>IF(K15=1,K14/(380/3^0.5),(K14/(380*3^0.5)))*1000</f>
        <v>151.93428136569102</v>
      </c>
      <c r="L18" s="598"/>
    </row>
    <row r="19" spans="1:12" ht="30" customHeight="1">
      <c r="A19" s="193"/>
      <c r="B19" s="407" t="s">
        <v>1527</v>
      </c>
      <c r="C19" s="385" t="s">
        <v>9</v>
      </c>
      <c r="D19" s="593">
        <f>IF(D15=1,D14/(380/3^0.5),(D14/(380*3^0.5)))</f>
        <v>0</v>
      </c>
      <c r="E19" s="594"/>
      <c r="F19" s="196"/>
      <c r="G19" s="370"/>
      <c r="I19" s="402" t="s">
        <v>1527</v>
      </c>
      <c r="J19" s="385" t="s">
        <v>9</v>
      </c>
      <c r="K19" s="597">
        <f>IF(K15=1,K14/(380/3^0.5),(K14/(380*3^0.5)))</f>
        <v>0.15193428136569101</v>
      </c>
      <c r="L19" s="598"/>
    </row>
    <row r="20" spans="1:12" ht="30" customHeight="1" thickBot="1">
      <c r="A20" s="193"/>
      <c r="B20" s="408" t="s">
        <v>1536</v>
      </c>
      <c r="C20" s="404" t="s">
        <v>9</v>
      </c>
      <c r="D20" s="589" t="e">
        <f>D16/D18</f>
        <v>#DIV/0!</v>
      </c>
      <c r="E20" s="590"/>
      <c r="F20" s="196"/>
      <c r="G20" s="370"/>
      <c r="I20" s="403" t="s">
        <v>1527</v>
      </c>
      <c r="J20" s="404" t="s">
        <v>9</v>
      </c>
      <c r="K20" s="595">
        <f>K16/K18</f>
        <v>0.65999999999999992</v>
      </c>
      <c r="L20" s="596"/>
    </row>
    <row r="21" spans="1:12" ht="9.75" customHeight="1">
      <c r="A21" s="193"/>
      <c r="B21" s="393" t="s">
        <v>1536</v>
      </c>
      <c r="C21" s="394" t="s">
        <v>9</v>
      </c>
      <c r="D21" s="574">
        <v>1</v>
      </c>
      <c r="E21" s="574"/>
      <c r="F21" s="395"/>
      <c r="G21" s="396"/>
      <c r="H21" s="397"/>
      <c r="I21" s="393" t="s">
        <v>1527</v>
      </c>
      <c r="J21" s="394" t="s">
        <v>9</v>
      </c>
      <c r="K21" s="574">
        <v>1</v>
      </c>
      <c r="L21" s="57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71"/>
      <c r="C24" s="572"/>
      <c r="D24" s="572"/>
      <c r="E24" s="573"/>
      <c r="I24" s="571"/>
      <c r="J24" s="572"/>
      <c r="K24" s="572"/>
      <c r="L24" s="573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D24" sqref="D24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8"/>
      <c r="C1" s="618"/>
      <c r="D1" s="618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58.3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56492700</v>
      </c>
    </row>
    <row r="10" spans="2:11" ht="20.100000000000001" customHeight="1">
      <c r="B10" s="238" t="s">
        <v>1445</v>
      </c>
      <c r="C10" s="239" t="s">
        <v>9</v>
      </c>
      <c r="D10" s="245">
        <f ca="1">RAB!K141</f>
        <v>239410324.31275001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4788206.4862550003</v>
      </c>
    </row>
    <row r="12" spans="2:11" ht="9" customHeight="1">
      <c r="B12" s="619"/>
      <c r="C12" s="619"/>
      <c r="D12" s="619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PD GONDO PRAJITNO (GSG DISPORA) 7,7-66KVA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1647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7.7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66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0" t="s">
        <v>1356</v>
      </c>
      <c r="C3" s="620"/>
      <c r="D3" s="620"/>
      <c r="E3" s="620"/>
      <c r="F3" s="252" t="str">
        <f>DATA!D14</f>
        <v>PD GONDO PRAJITNO (GSG DISPORA) 7,7-66KVA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21" t="s">
        <v>1348</v>
      </c>
      <c r="C5" s="621" t="s">
        <v>1357</v>
      </c>
      <c r="D5" s="622" t="s">
        <v>1358</v>
      </c>
      <c r="E5" s="622" t="s">
        <v>1359</v>
      </c>
      <c r="F5" s="621" t="s">
        <v>1360</v>
      </c>
      <c r="G5" s="621"/>
      <c r="H5" s="621"/>
      <c r="I5" s="621"/>
      <c r="J5" s="621"/>
      <c r="K5" s="621" t="s">
        <v>1361</v>
      </c>
      <c r="L5" s="621"/>
      <c r="M5" s="254"/>
      <c r="N5" s="625" t="s">
        <v>1362</v>
      </c>
      <c r="O5" s="622" t="s">
        <v>1363</v>
      </c>
      <c r="P5" s="622" t="s">
        <v>1364</v>
      </c>
      <c r="Q5" s="622" t="s">
        <v>1365</v>
      </c>
      <c r="R5" s="255"/>
      <c r="S5" s="256"/>
      <c r="T5" s="623" t="s">
        <v>1366</v>
      </c>
      <c r="U5" s="257"/>
    </row>
    <row r="6" spans="1:21" ht="20.100000000000001" customHeight="1">
      <c r="B6" s="621"/>
      <c r="C6" s="621"/>
      <c r="D6" s="621"/>
      <c r="E6" s="62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6"/>
      <c r="O6" s="621"/>
      <c r="P6" s="621"/>
      <c r="Q6" s="621"/>
      <c r="R6" s="255"/>
      <c r="S6" s="256"/>
      <c r="T6" s="621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9328</v>
      </c>
      <c r="D7" s="263">
        <f>C7*4/24</f>
        <v>1554.6666666666667</v>
      </c>
      <c r="E7" s="263">
        <f>C7-D7</f>
        <v>7773.333333333333</v>
      </c>
      <c r="F7" s="264">
        <f ca="1">DATA!D10/1000000</f>
        <v>239.41032431275002</v>
      </c>
      <c r="G7" s="265">
        <f ca="1">DATA!$D$11/1000000</f>
        <v>4.7882064862550004</v>
      </c>
      <c r="H7" s="265">
        <f>C7*DATA!$D$5/1000000</f>
        <v>10.112718428030057</v>
      </c>
      <c r="I7" s="265">
        <f>(C7*DATA!$D$5*DATA!$D$7)/1000000</f>
        <v>0.22753616463067627</v>
      </c>
      <c r="J7" s="263">
        <f ca="1">SUM(F7:I7)</f>
        <v>254.53878539166575</v>
      </c>
      <c r="K7" s="266">
        <f>DATA!D9/1000000</f>
        <v>56.492699999999999</v>
      </c>
      <c r="L7" s="263">
        <f>((D7*DATA!$D$23)/1000000)+((E7*DATA!$D$24)/1000000)</f>
        <v>13.476161599999999</v>
      </c>
      <c r="M7" s="263">
        <f>K7+L7</f>
        <v>69.968861599999997</v>
      </c>
      <c r="N7" s="263">
        <f ca="1">M7-J7</f>
        <v>-184.56992379166576</v>
      </c>
      <c r="O7" s="261">
        <v>1</v>
      </c>
      <c r="P7" s="263">
        <f ca="1">O7*N7</f>
        <v>-184.56992379166576</v>
      </c>
      <c r="Q7" s="263">
        <f ca="1">P7</f>
        <v>-184.56992379166576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27984</v>
      </c>
      <c r="D8" s="263">
        <f>C8*4/24</f>
        <v>4664</v>
      </c>
      <c r="E8" s="263">
        <f t="shared" ref="E8:E32" si="0">C8-D8</f>
        <v>23320</v>
      </c>
      <c r="F8" s="261"/>
      <c r="G8" s="265">
        <f ca="1">DATA!$D$11/1000000</f>
        <v>4.7882064862550004</v>
      </c>
      <c r="H8" s="265">
        <f>C8*DATA!$D$5/1000000</f>
        <v>30.33815528409017</v>
      </c>
      <c r="I8" s="265">
        <f>(C8*DATA!$D$5*DATA!$D$7)/1000000</f>
        <v>0.68260849389202882</v>
      </c>
      <c r="J8" s="263">
        <f t="shared" ref="J8:J32" ca="1" si="1">SUM(F8:I8)</f>
        <v>35.808970264237196</v>
      </c>
      <c r="K8" s="268"/>
      <c r="L8" s="263">
        <f>((D8*DATA!$D$23)/1000000)+((E8*DATA!$D$24)/1000000)</f>
        <v>40.4284848</v>
      </c>
      <c r="M8" s="263">
        <f t="shared" ref="M8:M32" si="2">K8+L8</f>
        <v>40.4284848</v>
      </c>
      <c r="N8" s="263">
        <f ca="1">M8-J8</f>
        <v>4.6195145357628036</v>
      </c>
      <c r="O8" s="262">
        <f>1/(1+'[94]Asumsi I'!$C$3)^(KKF!A8)</f>
        <v>0.89285714285714279</v>
      </c>
      <c r="P8" s="263">
        <f ca="1">O8*N8</f>
        <v>4.1245665497882174</v>
      </c>
      <c r="Q8" s="263">
        <f ca="1">Q7+P8</f>
        <v>-180.44535724187753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27984</v>
      </c>
      <c r="D9" s="263">
        <f t="shared" ref="D9:D32" si="5">C9*4/24</f>
        <v>4664</v>
      </c>
      <c r="E9" s="263">
        <f t="shared" si="0"/>
        <v>23320</v>
      </c>
      <c r="F9" s="261"/>
      <c r="G9" s="265">
        <f ca="1">DATA!$D$11/1000000</f>
        <v>4.7882064862550004</v>
      </c>
      <c r="H9" s="265">
        <f>C9*DATA!$D$5/1000000</f>
        <v>30.33815528409017</v>
      </c>
      <c r="I9" s="265">
        <f>(C9*DATA!$D$5*DATA!$D$7)/1000000</f>
        <v>0.68260849389202882</v>
      </c>
      <c r="J9" s="263">
        <f t="shared" ca="1" si="1"/>
        <v>35.808970264237196</v>
      </c>
      <c r="K9" s="263"/>
      <c r="L9" s="263">
        <f>((D9*DATA!$D$23)/1000000)+((E9*DATA!$D$24)/1000000)</f>
        <v>40.4284848</v>
      </c>
      <c r="M9" s="263">
        <f t="shared" si="2"/>
        <v>40.4284848</v>
      </c>
      <c r="N9" s="263">
        <f t="shared" ref="N9:N32" ca="1" si="6">M9-J9</f>
        <v>4.6195145357628036</v>
      </c>
      <c r="O9" s="269">
        <f>1/(1+'[94]Asumsi I'!$C$3)^(KKF!A9)</f>
        <v>0.79719387755102034</v>
      </c>
      <c r="P9" s="263">
        <f t="shared" ref="P9:P32" ca="1" si="7">O9*N9</f>
        <v>3.682648705168051</v>
      </c>
      <c r="Q9" s="263">
        <f ca="1">Q8+P9</f>
        <v>-176.76270853670948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27984</v>
      </c>
      <c r="D10" s="263">
        <f t="shared" si="5"/>
        <v>4664</v>
      </c>
      <c r="E10" s="263">
        <f t="shared" si="0"/>
        <v>23320</v>
      </c>
      <c r="F10" s="261"/>
      <c r="G10" s="265">
        <f ca="1">DATA!$D$11/1000000</f>
        <v>4.7882064862550004</v>
      </c>
      <c r="H10" s="265">
        <f>C10*DATA!$D$5/1000000</f>
        <v>30.33815528409017</v>
      </c>
      <c r="I10" s="265">
        <f>(C10*DATA!$D$5*DATA!$D$7)/1000000</f>
        <v>0.68260849389202882</v>
      </c>
      <c r="J10" s="263">
        <f t="shared" ca="1" si="1"/>
        <v>35.808970264237196</v>
      </c>
      <c r="K10" s="261"/>
      <c r="L10" s="263">
        <f>((D10*DATA!$D$23)/1000000)+((E10*DATA!$D$24)/1000000)</f>
        <v>40.4284848</v>
      </c>
      <c r="M10" s="263">
        <f t="shared" si="2"/>
        <v>40.4284848</v>
      </c>
      <c r="N10" s="263">
        <f t="shared" ca="1" si="6"/>
        <v>4.6195145357628036</v>
      </c>
      <c r="O10" s="262">
        <f>1/(1+'[94]Asumsi I'!$C$3)^(KKF!A10)</f>
        <v>0.71178024781341087</v>
      </c>
      <c r="P10" s="263">
        <f t="shared" ca="1" si="7"/>
        <v>3.2880792010429021</v>
      </c>
      <c r="Q10" s="263">
        <f t="shared" ref="Q10:Q30" ca="1" si="9">Q9+P10</f>
        <v>-173.47462933566658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27984</v>
      </c>
      <c r="D11" s="263">
        <f t="shared" si="5"/>
        <v>4664</v>
      </c>
      <c r="E11" s="263">
        <f t="shared" si="0"/>
        <v>23320</v>
      </c>
      <c r="F11" s="261"/>
      <c r="G11" s="265">
        <f ca="1">DATA!$D$11/1000000</f>
        <v>4.7882064862550004</v>
      </c>
      <c r="H11" s="265">
        <f>C11*DATA!$D$5/1000000</f>
        <v>30.33815528409017</v>
      </c>
      <c r="I11" s="265">
        <f>(C11*DATA!$D$5*DATA!$D$7)/1000000</f>
        <v>0.68260849389202882</v>
      </c>
      <c r="J11" s="263">
        <f t="shared" ca="1" si="1"/>
        <v>35.808970264237196</v>
      </c>
      <c r="K11" s="261"/>
      <c r="L11" s="263">
        <f>((D11*DATA!$D$23)/1000000)+((E11*DATA!$D$24)/1000000)</f>
        <v>40.4284848</v>
      </c>
      <c r="M11" s="263">
        <f t="shared" si="2"/>
        <v>40.4284848</v>
      </c>
      <c r="N11" s="263">
        <f t="shared" ca="1" si="6"/>
        <v>4.6195145357628036</v>
      </c>
      <c r="O11" s="262">
        <f>1/(1+'[94]Asumsi I'!$C$3)^(KKF!A11)</f>
        <v>0.63551807840483121</v>
      </c>
      <c r="P11" s="263">
        <f t="shared" ca="1" si="7"/>
        <v>2.9357850009311628</v>
      </c>
      <c r="Q11" s="263">
        <f t="shared" ca="1" si="9"/>
        <v>-170.53884433473542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27984</v>
      </c>
      <c r="D12" s="263">
        <f t="shared" si="5"/>
        <v>4664</v>
      </c>
      <c r="E12" s="263">
        <f t="shared" si="0"/>
        <v>23320</v>
      </c>
      <c r="F12" s="261"/>
      <c r="G12" s="265">
        <f ca="1">DATA!$D$11/1000000</f>
        <v>4.7882064862550004</v>
      </c>
      <c r="H12" s="265">
        <f>C12*DATA!$D$5/1000000</f>
        <v>30.33815528409017</v>
      </c>
      <c r="I12" s="265">
        <f>(C12*DATA!$D$5*DATA!$D$7)/1000000</f>
        <v>0.68260849389202882</v>
      </c>
      <c r="J12" s="263">
        <f t="shared" ca="1" si="1"/>
        <v>35.808970264237196</v>
      </c>
      <c r="K12" s="261"/>
      <c r="L12" s="263">
        <f>((D12*DATA!$D$23)/1000000)+((E12*DATA!$D$24)/1000000)</f>
        <v>40.4284848</v>
      </c>
      <c r="M12" s="263">
        <f t="shared" si="2"/>
        <v>40.4284848</v>
      </c>
      <c r="N12" s="263">
        <f t="shared" ca="1" si="6"/>
        <v>4.6195145357628036</v>
      </c>
      <c r="O12" s="262">
        <f>1/(1+'[94]Asumsi I'!$C$3)^(KKF!A12)</f>
        <v>0.56742685571859919</v>
      </c>
      <c r="P12" s="263">
        <f t="shared" ca="1" si="7"/>
        <v>2.621236607974252</v>
      </c>
      <c r="Q12" s="263">
        <f t="shared" ca="1" si="9"/>
        <v>-167.91760772676116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27984</v>
      </c>
      <c r="D13" s="263">
        <f t="shared" si="5"/>
        <v>4664</v>
      </c>
      <c r="E13" s="263">
        <f t="shared" si="0"/>
        <v>23320</v>
      </c>
      <c r="F13" s="261"/>
      <c r="G13" s="265">
        <f ca="1">DATA!$D$11/1000000</f>
        <v>4.7882064862550004</v>
      </c>
      <c r="H13" s="265">
        <f>C13*DATA!$D$5/1000000</f>
        <v>30.33815528409017</v>
      </c>
      <c r="I13" s="265">
        <f>(C13*DATA!$D$5*DATA!$D$7)/1000000</f>
        <v>0.68260849389202882</v>
      </c>
      <c r="J13" s="263">
        <f t="shared" ca="1" si="1"/>
        <v>35.808970264237196</v>
      </c>
      <c r="K13" s="261"/>
      <c r="L13" s="263">
        <f>((D13*DATA!$D$23)/1000000)+((E13*DATA!$D$24)/1000000)</f>
        <v>40.4284848</v>
      </c>
      <c r="M13" s="263">
        <f t="shared" si="2"/>
        <v>40.4284848</v>
      </c>
      <c r="N13" s="263">
        <f t="shared" ca="1" si="6"/>
        <v>4.6195145357628036</v>
      </c>
      <c r="O13" s="262">
        <f>1/(1+'[94]Asumsi I'!$C$3)^(KKF!A13)</f>
        <v>0.50663112117732068</v>
      </c>
      <c r="P13" s="263">
        <f t="shared" ca="1" si="7"/>
        <v>2.3403898285484392</v>
      </c>
      <c r="Q13" s="263">
        <f t="shared" ca="1" si="9"/>
        <v>-165.57721789821272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27984</v>
      </c>
      <c r="D14" s="263">
        <f t="shared" si="5"/>
        <v>4664</v>
      </c>
      <c r="E14" s="263">
        <f t="shared" si="0"/>
        <v>23320</v>
      </c>
      <c r="F14" s="261"/>
      <c r="G14" s="265">
        <f ca="1">DATA!$D$11/1000000</f>
        <v>4.7882064862550004</v>
      </c>
      <c r="H14" s="265">
        <f>C14*DATA!$D$5/1000000</f>
        <v>30.33815528409017</v>
      </c>
      <c r="I14" s="265">
        <f>(C14*DATA!$D$5*DATA!$D$7)/1000000</f>
        <v>0.68260849389202882</v>
      </c>
      <c r="J14" s="263">
        <f t="shared" ca="1" si="1"/>
        <v>35.808970264237196</v>
      </c>
      <c r="K14" s="261"/>
      <c r="L14" s="263">
        <f>((D14*DATA!$D$23)/1000000)+((E14*DATA!$D$24)/1000000)</f>
        <v>40.4284848</v>
      </c>
      <c r="M14" s="263">
        <f t="shared" si="2"/>
        <v>40.4284848</v>
      </c>
      <c r="N14" s="263">
        <f t="shared" ca="1" si="6"/>
        <v>4.6195145357628036</v>
      </c>
      <c r="O14" s="262">
        <f>1/(1+'[94]Asumsi I'!$C$3)^(KKF!A14)</f>
        <v>0.45234921533689343</v>
      </c>
      <c r="P14" s="263">
        <f t="shared" ca="1" si="7"/>
        <v>2.0896337754896779</v>
      </c>
      <c r="Q14" s="263">
        <f t="shared" ca="1" si="9"/>
        <v>-163.48758412272304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27984</v>
      </c>
      <c r="D15" s="263">
        <f t="shared" si="5"/>
        <v>4664</v>
      </c>
      <c r="E15" s="263">
        <f t="shared" si="0"/>
        <v>23320</v>
      </c>
      <c r="F15" s="261"/>
      <c r="G15" s="265">
        <f ca="1">DATA!$D$11/1000000</f>
        <v>4.7882064862550004</v>
      </c>
      <c r="H15" s="265">
        <f>C15*DATA!$D$5/1000000</f>
        <v>30.33815528409017</v>
      </c>
      <c r="I15" s="265">
        <f>(C15*DATA!$D$5*DATA!$D$7)/1000000</f>
        <v>0.68260849389202882</v>
      </c>
      <c r="J15" s="263">
        <f t="shared" ca="1" si="1"/>
        <v>35.808970264237196</v>
      </c>
      <c r="K15" s="261"/>
      <c r="L15" s="263">
        <f>((D15*DATA!$D$23)/1000000)+((E15*DATA!$D$24)/1000000)</f>
        <v>40.4284848</v>
      </c>
      <c r="M15" s="263">
        <f t="shared" si="2"/>
        <v>40.4284848</v>
      </c>
      <c r="N15" s="263">
        <f t="shared" ca="1" si="6"/>
        <v>4.6195145357628036</v>
      </c>
      <c r="O15" s="262">
        <f>1/(1+'[94]Asumsi I'!$C$3)^(KKF!A15)</f>
        <v>0.4038832279793691</v>
      </c>
      <c r="P15" s="263">
        <f t="shared" ca="1" si="7"/>
        <v>1.8657444424014977</v>
      </c>
      <c r="Q15" s="263">
        <f t="shared" ca="1" si="9"/>
        <v>-161.62183968032153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27984</v>
      </c>
      <c r="D16" s="263">
        <f t="shared" si="5"/>
        <v>4664</v>
      </c>
      <c r="E16" s="263">
        <f t="shared" si="0"/>
        <v>23320</v>
      </c>
      <c r="F16" s="261"/>
      <c r="G16" s="265">
        <f ca="1">DATA!$D$11/1000000</f>
        <v>4.7882064862550004</v>
      </c>
      <c r="H16" s="265">
        <f>C16*DATA!$D$5/1000000</f>
        <v>30.33815528409017</v>
      </c>
      <c r="I16" s="265">
        <f>(C16*DATA!$D$5*DATA!$D$7)/1000000</f>
        <v>0.68260849389202882</v>
      </c>
      <c r="J16" s="263">
        <f t="shared" ca="1" si="1"/>
        <v>35.808970264237196</v>
      </c>
      <c r="K16" s="261"/>
      <c r="L16" s="263">
        <f>((D16*DATA!$D$23)/1000000)+((E16*DATA!$D$24)/1000000)</f>
        <v>40.4284848</v>
      </c>
      <c r="M16" s="263">
        <f t="shared" si="2"/>
        <v>40.4284848</v>
      </c>
      <c r="N16" s="263">
        <f t="shared" ca="1" si="6"/>
        <v>4.6195145357628036</v>
      </c>
      <c r="O16" s="262">
        <f>1/(1+'[94]Asumsi I'!$C$3)^(KKF!A16)</f>
        <v>0.36061002498157957</v>
      </c>
      <c r="P16" s="263">
        <f t="shared" ca="1" si="7"/>
        <v>1.6658432521441946</v>
      </c>
      <c r="Q16" s="263">
        <f t="shared" ca="1" si="9"/>
        <v>-159.95599642817734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27984</v>
      </c>
      <c r="D17" s="263">
        <f t="shared" si="5"/>
        <v>4664</v>
      </c>
      <c r="E17" s="263">
        <f t="shared" si="0"/>
        <v>23320</v>
      </c>
      <c r="F17" s="261"/>
      <c r="G17" s="265">
        <f ca="1">DATA!$D$11/1000000</f>
        <v>4.7882064862550004</v>
      </c>
      <c r="H17" s="265">
        <f>C17*DATA!$D$5/1000000</f>
        <v>30.33815528409017</v>
      </c>
      <c r="I17" s="265">
        <f>(C17*DATA!$D$5*DATA!$D$7)/1000000</f>
        <v>0.68260849389202882</v>
      </c>
      <c r="J17" s="263">
        <f t="shared" ca="1" si="1"/>
        <v>35.808970264237196</v>
      </c>
      <c r="K17" s="261"/>
      <c r="L17" s="263">
        <f>((D17*DATA!$D$23)/1000000)+((E17*DATA!$D$24)/1000000)</f>
        <v>40.4284848</v>
      </c>
      <c r="M17" s="263">
        <f t="shared" si="2"/>
        <v>40.4284848</v>
      </c>
      <c r="N17" s="263">
        <f t="shared" ca="1" si="6"/>
        <v>4.6195145357628036</v>
      </c>
      <c r="O17" s="262">
        <f>1/(1+'[94]Asumsi I'!$C$3)^(KKF!A17)</f>
        <v>0.32197323659069599</v>
      </c>
      <c r="P17" s="263">
        <f t="shared" ca="1" si="7"/>
        <v>1.4873600465573162</v>
      </c>
      <c r="Q17" s="263">
        <f t="shared" ca="1" si="9"/>
        <v>-158.46863638162003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27984</v>
      </c>
      <c r="D18" s="263">
        <f t="shared" si="5"/>
        <v>4664</v>
      </c>
      <c r="E18" s="263">
        <f t="shared" si="0"/>
        <v>23320</v>
      </c>
      <c r="F18" s="261"/>
      <c r="G18" s="265">
        <f ca="1">DATA!$D$11/1000000</f>
        <v>4.7882064862550004</v>
      </c>
      <c r="H18" s="265">
        <f>C18*DATA!$D$5/1000000</f>
        <v>30.33815528409017</v>
      </c>
      <c r="I18" s="265">
        <f>(C18*DATA!$D$5*DATA!$D$7)/1000000</f>
        <v>0.68260849389202882</v>
      </c>
      <c r="J18" s="263">
        <f t="shared" ca="1" si="1"/>
        <v>35.808970264237196</v>
      </c>
      <c r="K18" s="261"/>
      <c r="L18" s="263">
        <f>((D18*DATA!$D$23)/1000000)+((E18*DATA!$D$24)/1000000)</f>
        <v>40.4284848</v>
      </c>
      <c r="M18" s="263">
        <f t="shared" si="2"/>
        <v>40.4284848</v>
      </c>
      <c r="N18" s="263">
        <f t="shared" ca="1" si="6"/>
        <v>4.6195145357628036</v>
      </c>
      <c r="O18" s="262">
        <f>1/(1+'[94]Asumsi I'!$C$3)^(KKF!A18)</f>
        <v>0.28747610409883567</v>
      </c>
      <c r="P18" s="263">
        <f t="shared" ca="1" si="7"/>
        <v>1.3280000415690323</v>
      </c>
      <c r="Q18" s="263">
        <f t="shared" ca="1" si="9"/>
        <v>-157.140636340051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27984</v>
      </c>
      <c r="D19" s="263">
        <f t="shared" si="5"/>
        <v>4664</v>
      </c>
      <c r="E19" s="263">
        <f t="shared" si="0"/>
        <v>23320</v>
      </c>
      <c r="F19" s="261"/>
      <c r="G19" s="265">
        <f ca="1">DATA!$D$11/1000000</f>
        <v>4.7882064862550004</v>
      </c>
      <c r="H19" s="265">
        <f>C19*DATA!$D$5/1000000</f>
        <v>30.33815528409017</v>
      </c>
      <c r="I19" s="265">
        <f>(C19*DATA!$D$5*DATA!$D$7)/1000000</f>
        <v>0.68260849389202882</v>
      </c>
      <c r="J19" s="263">
        <f t="shared" ca="1" si="1"/>
        <v>35.808970264237196</v>
      </c>
      <c r="K19" s="261"/>
      <c r="L19" s="263">
        <f>((D19*DATA!$D$23)/1000000)+((E19*DATA!$D$24)/1000000)</f>
        <v>40.4284848</v>
      </c>
      <c r="M19" s="263">
        <f t="shared" si="2"/>
        <v>40.4284848</v>
      </c>
      <c r="N19" s="263">
        <f t="shared" ca="1" si="6"/>
        <v>4.6195145357628036</v>
      </c>
      <c r="O19" s="262">
        <f>1/(1+'[94]Asumsi I'!$C$3)^(KKF!A19)</f>
        <v>0.25667509294538904</v>
      </c>
      <c r="P19" s="263">
        <f t="shared" ca="1" si="7"/>
        <v>1.1857143228294933</v>
      </c>
      <c r="Q19" s="263">
        <f t="shared" ca="1" si="9"/>
        <v>-155.95492201722152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27984</v>
      </c>
      <c r="D20" s="263">
        <f t="shared" si="5"/>
        <v>4664</v>
      </c>
      <c r="E20" s="263">
        <f t="shared" si="0"/>
        <v>23320</v>
      </c>
      <c r="F20" s="261"/>
      <c r="G20" s="265">
        <f ca="1">DATA!$D$11/1000000</f>
        <v>4.7882064862550004</v>
      </c>
      <c r="H20" s="265">
        <f>C20*DATA!$D$5/1000000</f>
        <v>30.33815528409017</v>
      </c>
      <c r="I20" s="265">
        <f>(C20*DATA!$D$5*DATA!$D$7)/1000000</f>
        <v>0.68260849389202882</v>
      </c>
      <c r="J20" s="263">
        <f t="shared" ca="1" si="1"/>
        <v>35.808970264237196</v>
      </c>
      <c r="K20" s="261"/>
      <c r="L20" s="263">
        <f>((D20*DATA!$D$23)/1000000)+((E20*DATA!$D$24)/1000000)</f>
        <v>40.4284848</v>
      </c>
      <c r="M20" s="263">
        <f t="shared" si="2"/>
        <v>40.4284848</v>
      </c>
      <c r="N20" s="263">
        <f t="shared" ca="1" si="6"/>
        <v>4.6195145357628036</v>
      </c>
      <c r="O20" s="262">
        <f>1/(1+'[94]Asumsi I'!$C$3)^(KKF!A20)</f>
        <v>0.22917419012981158</v>
      </c>
      <c r="P20" s="263">
        <f t="shared" ca="1" si="7"/>
        <v>1.058673502526333</v>
      </c>
      <c r="Q20" s="263">
        <f t="shared" ca="1" si="9"/>
        <v>-154.89624851469517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27984</v>
      </c>
      <c r="D21" s="263">
        <f t="shared" si="5"/>
        <v>4664</v>
      </c>
      <c r="E21" s="263">
        <f t="shared" si="0"/>
        <v>23320</v>
      </c>
      <c r="F21" s="261"/>
      <c r="G21" s="265">
        <f ca="1">DATA!$D$11/1000000</f>
        <v>4.7882064862550004</v>
      </c>
      <c r="H21" s="265">
        <f>C21*DATA!$D$5/1000000</f>
        <v>30.33815528409017</v>
      </c>
      <c r="I21" s="265">
        <f>(C21*DATA!$D$5*DATA!$D$7)/1000000</f>
        <v>0.68260849389202882</v>
      </c>
      <c r="J21" s="263">
        <f t="shared" ca="1" si="1"/>
        <v>35.808970264237196</v>
      </c>
      <c r="K21" s="261"/>
      <c r="L21" s="263">
        <f>((D21*DATA!$D$23)/1000000)+((E21*DATA!$D$24)/1000000)</f>
        <v>40.4284848</v>
      </c>
      <c r="M21" s="263">
        <f t="shared" si="2"/>
        <v>40.4284848</v>
      </c>
      <c r="N21" s="263">
        <f t="shared" ca="1" si="6"/>
        <v>4.6195145357628036</v>
      </c>
      <c r="O21" s="262">
        <f>1/(1+'[94]Asumsi I'!$C$3)^(KKF!A21)</f>
        <v>0.20461981261590317</v>
      </c>
      <c r="P21" s="263">
        <f t="shared" ca="1" si="7"/>
        <v>0.94524419868422582</v>
      </c>
      <c r="Q21" s="263">
        <f t="shared" ca="1" si="9"/>
        <v>-153.95100431601094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27984</v>
      </c>
      <c r="D22" s="263">
        <f t="shared" si="5"/>
        <v>4664</v>
      </c>
      <c r="E22" s="263">
        <f t="shared" si="0"/>
        <v>23320</v>
      </c>
      <c r="F22" s="261"/>
      <c r="G22" s="265">
        <f ca="1">DATA!$D$11/1000000</f>
        <v>4.7882064862550004</v>
      </c>
      <c r="H22" s="265">
        <f>C22*DATA!$D$5/1000000</f>
        <v>30.33815528409017</v>
      </c>
      <c r="I22" s="265">
        <f>(C22*DATA!$D$5*DATA!$D$7)/1000000</f>
        <v>0.68260849389202882</v>
      </c>
      <c r="J22" s="263">
        <f t="shared" ca="1" si="1"/>
        <v>35.808970264237196</v>
      </c>
      <c r="K22" s="261"/>
      <c r="L22" s="263">
        <f>((D22*DATA!$D$23)/1000000)+((E22*DATA!$D$24)/1000000)</f>
        <v>40.4284848</v>
      </c>
      <c r="M22" s="263">
        <f t="shared" si="2"/>
        <v>40.4284848</v>
      </c>
      <c r="N22" s="263">
        <f t="shared" ca="1" si="6"/>
        <v>4.6195145357628036</v>
      </c>
      <c r="O22" s="262">
        <f>1/(1+'[94]Asumsi I'!$C$3)^(KKF!A22)</f>
        <v>0.18269626126419927</v>
      </c>
      <c r="P22" s="263">
        <f t="shared" ca="1" si="7"/>
        <v>0.84396803453948732</v>
      </c>
      <c r="Q22" s="263">
        <f t="shared" ca="1" si="9"/>
        <v>-153.10703628147144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27984</v>
      </c>
      <c r="D23" s="263">
        <f t="shared" si="5"/>
        <v>4664</v>
      </c>
      <c r="E23" s="263">
        <f t="shared" si="0"/>
        <v>23320</v>
      </c>
      <c r="F23" s="261"/>
      <c r="G23" s="265">
        <f ca="1">DATA!$D$11/1000000</f>
        <v>4.7882064862550004</v>
      </c>
      <c r="H23" s="265">
        <f>C23*DATA!$D$5/1000000</f>
        <v>30.33815528409017</v>
      </c>
      <c r="I23" s="265">
        <f>(C23*DATA!$D$5*DATA!$D$7)/1000000</f>
        <v>0.68260849389202882</v>
      </c>
      <c r="J23" s="263">
        <f t="shared" ca="1" si="1"/>
        <v>35.808970264237196</v>
      </c>
      <c r="K23" s="261"/>
      <c r="L23" s="263">
        <f>((D23*DATA!$D$23)/1000000)+((E23*DATA!$D$24)/1000000)</f>
        <v>40.4284848</v>
      </c>
      <c r="M23" s="263">
        <f t="shared" si="2"/>
        <v>40.4284848</v>
      </c>
      <c r="N23" s="263">
        <f t="shared" ca="1" si="6"/>
        <v>4.6195145357628036</v>
      </c>
      <c r="O23" s="262">
        <f>1/(1+'[94]Asumsi I'!$C$3)^(KKF!A23)</f>
        <v>0.16312166184303503</v>
      </c>
      <c r="P23" s="263">
        <f t="shared" ca="1" si="7"/>
        <v>0.75354288798168501</v>
      </c>
      <c r="Q23" s="263">
        <f t="shared" ca="1" si="9"/>
        <v>-152.35349339348974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27984</v>
      </c>
      <c r="D24" s="263">
        <f t="shared" si="5"/>
        <v>4664</v>
      </c>
      <c r="E24" s="263">
        <f t="shared" si="0"/>
        <v>23320</v>
      </c>
      <c r="F24" s="261"/>
      <c r="G24" s="265">
        <f ca="1">DATA!$D$11/1000000</f>
        <v>4.7882064862550004</v>
      </c>
      <c r="H24" s="265">
        <f>C24*DATA!$D$5/1000000</f>
        <v>30.33815528409017</v>
      </c>
      <c r="I24" s="265">
        <f>(C24*DATA!$D$5*DATA!$D$7)/1000000</f>
        <v>0.68260849389202882</v>
      </c>
      <c r="J24" s="263">
        <f t="shared" ca="1" si="1"/>
        <v>35.808970264237196</v>
      </c>
      <c r="K24" s="261"/>
      <c r="L24" s="263">
        <f>((D24*DATA!$D$23)/1000000)+((E24*DATA!$D$24)/1000000)</f>
        <v>40.4284848</v>
      </c>
      <c r="M24" s="263">
        <f t="shared" si="2"/>
        <v>40.4284848</v>
      </c>
      <c r="N24" s="263">
        <f t="shared" ca="1" si="6"/>
        <v>4.6195145357628036</v>
      </c>
      <c r="O24" s="262">
        <f>1/(1+'[94]Asumsi I'!$C$3)^(KKF!A24)</f>
        <v>0.14564434093128129</v>
      </c>
      <c r="P24" s="263">
        <f t="shared" ca="1" si="7"/>
        <v>0.67280614998364741</v>
      </c>
      <c r="Q24" s="263">
        <f t="shared" ca="1" si="9"/>
        <v>-151.6806872435061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27984</v>
      </c>
      <c r="D25" s="263">
        <f t="shared" si="5"/>
        <v>4664</v>
      </c>
      <c r="E25" s="263">
        <f t="shared" si="0"/>
        <v>23320</v>
      </c>
      <c r="F25" s="261"/>
      <c r="G25" s="265">
        <f ca="1">DATA!$D$11/1000000</f>
        <v>4.7882064862550004</v>
      </c>
      <c r="H25" s="265">
        <f>C25*DATA!$D$5/1000000</f>
        <v>30.33815528409017</v>
      </c>
      <c r="I25" s="265">
        <f>(C25*DATA!$D$5*DATA!$D$7)/1000000</f>
        <v>0.68260849389202882</v>
      </c>
      <c r="J25" s="263">
        <f t="shared" ca="1" si="1"/>
        <v>35.808970264237196</v>
      </c>
      <c r="K25" s="261"/>
      <c r="L25" s="263">
        <f>((D25*DATA!$D$23)/1000000)+((E25*DATA!$D$24)/1000000)</f>
        <v>40.4284848</v>
      </c>
      <c r="M25" s="263">
        <f t="shared" si="2"/>
        <v>40.4284848</v>
      </c>
      <c r="N25" s="263">
        <f t="shared" ca="1" si="6"/>
        <v>4.6195145357628036</v>
      </c>
      <c r="O25" s="262">
        <f>1/(1+'[94]Asumsi I'!$C$3)^(KKF!A25)</f>
        <v>0.13003959011721541</v>
      </c>
      <c r="P25" s="263">
        <f t="shared" ca="1" si="7"/>
        <v>0.60071977677111366</v>
      </c>
      <c r="Q25" s="263">
        <f t="shared" ca="1" si="9"/>
        <v>-151.07996746673498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27984</v>
      </c>
      <c r="D26" s="263">
        <f t="shared" si="5"/>
        <v>4664</v>
      </c>
      <c r="E26" s="263">
        <f t="shared" si="0"/>
        <v>23320</v>
      </c>
      <c r="F26" s="261"/>
      <c r="G26" s="265">
        <f ca="1">DATA!$D$11/1000000</f>
        <v>4.7882064862550004</v>
      </c>
      <c r="H26" s="265">
        <f>C26*DATA!$D$5/1000000</f>
        <v>30.33815528409017</v>
      </c>
      <c r="I26" s="265">
        <f>(C26*DATA!$D$5*DATA!$D$7)/1000000</f>
        <v>0.68260849389202882</v>
      </c>
      <c r="J26" s="263">
        <f t="shared" ca="1" si="1"/>
        <v>35.808970264237196</v>
      </c>
      <c r="K26" s="261"/>
      <c r="L26" s="263">
        <f>((D26*DATA!$D$23)/1000000)+((E26*DATA!$D$24)/1000000)</f>
        <v>40.4284848</v>
      </c>
      <c r="M26" s="263">
        <f t="shared" si="2"/>
        <v>40.4284848</v>
      </c>
      <c r="N26" s="263">
        <f t="shared" ca="1" si="6"/>
        <v>4.6195145357628036</v>
      </c>
      <c r="O26" s="262">
        <f>1/(1+'[94]Asumsi I'!$C$3)^(KKF!A26)</f>
        <v>0.1161067768903709</v>
      </c>
      <c r="P26" s="263">
        <f t="shared" ca="1" si="7"/>
        <v>0.53635694354563712</v>
      </c>
      <c r="Q26" s="263">
        <f t="shared" ca="1" si="9"/>
        <v>-150.54361052318936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27984</v>
      </c>
      <c r="D27" s="263">
        <f t="shared" si="5"/>
        <v>4664</v>
      </c>
      <c r="E27" s="263">
        <f t="shared" si="0"/>
        <v>23320</v>
      </c>
      <c r="F27" s="261"/>
      <c r="G27" s="265">
        <f ca="1">DATA!$D$11/1000000</f>
        <v>4.7882064862550004</v>
      </c>
      <c r="H27" s="265">
        <f>C27*DATA!$D$5/1000000</f>
        <v>30.33815528409017</v>
      </c>
      <c r="I27" s="265">
        <f>(C27*DATA!$D$5*DATA!$D$7)/1000000</f>
        <v>0.68260849389202882</v>
      </c>
      <c r="J27" s="263">
        <f t="shared" ca="1" si="1"/>
        <v>35.808970264237196</v>
      </c>
      <c r="K27" s="261"/>
      <c r="L27" s="263">
        <f>((D27*DATA!$D$23)/1000000)+((E27*DATA!$D$24)/1000000)</f>
        <v>40.4284848</v>
      </c>
      <c r="M27" s="263">
        <f t="shared" si="2"/>
        <v>40.4284848</v>
      </c>
      <c r="N27" s="263">
        <f t="shared" ca="1" si="6"/>
        <v>4.6195145357628036</v>
      </c>
      <c r="O27" s="262">
        <f>1/(1+'[94]Asumsi I'!$C$3)^(KKF!A27)</f>
        <v>0.1036667650806883</v>
      </c>
      <c r="P27" s="263">
        <f t="shared" ca="1" si="7"/>
        <v>0.47889012816574744</v>
      </c>
      <c r="Q27" s="263">
        <f t="shared" ca="1" si="9"/>
        <v>-150.06472039502361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27984</v>
      </c>
      <c r="D28" s="263">
        <f t="shared" si="5"/>
        <v>4664</v>
      </c>
      <c r="E28" s="263">
        <f t="shared" si="0"/>
        <v>23320</v>
      </c>
      <c r="F28" s="261"/>
      <c r="G28" s="265">
        <f ca="1">DATA!$D$11/1000000</f>
        <v>4.7882064862550004</v>
      </c>
      <c r="H28" s="265">
        <f>C28*DATA!$D$5/1000000</f>
        <v>30.33815528409017</v>
      </c>
      <c r="I28" s="265">
        <f>(C28*DATA!$D$5*DATA!$D$7)/1000000</f>
        <v>0.68260849389202882</v>
      </c>
      <c r="J28" s="263">
        <f t="shared" ca="1" si="1"/>
        <v>35.808970264237196</v>
      </c>
      <c r="K28" s="261"/>
      <c r="L28" s="263">
        <f>((D28*DATA!$D$23)/1000000)+((E28*DATA!$D$24)/1000000)</f>
        <v>40.4284848</v>
      </c>
      <c r="M28" s="263">
        <f t="shared" si="2"/>
        <v>40.4284848</v>
      </c>
      <c r="N28" s="263">
        <f t="shared" ca="1" si="6"/>
        <v>4.6195145357628036</v>
      </c>
      <c r="O28" s="262">
        <f>1/(1+'[94]Asumsi I'!$C$3)^(KKF!A28)</f>
        <v>9.2559611679185971E-2</v>
      </c>
      <c r="P28" s="263">
        <f t="shared" ca="1" si="7"/>
        <v>0.42758047157656015</v>
      </c>
      <c r="Q28" s="263">
        <f t="shared" ca="1" si="9"/>
        <v>-149.63713992344705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27984</v>
      </c>
      <c r="D29" s="263">
        <f t="shared" si="5"/>
        <v>4664</v>
      </c>
      <c r="E29" s="263">
        <f t="shared" si="0"/>
        <v>23320</v>
      </c>
      <c r="F29" s="261"/>
      <c r="G29" s="265">
        <f ca="1">DATA!$D$11/1000000</f>
        <v>4.7882064862550004</v>
      </c>
      <c r="H29" s="265">
        <f>C29*DATA!$D$5/1000000</f>
        <v>30.33815528409017</v>
      </c>
      <c r="I29" s="265">
        <f>(C29*DATA!$D$5*DATA!$D$7)/1000000</f>
        <v>0.68260849389202882</v>
      </c>
      <c r="J29" s="263">
        <f t="shared" ca="1" si="1"/>
        <v>35.808970264237196</v>
      </c>
      <c r="K29" s="261"/>
      <c r="L29" s="263">
        <f>((D29*DATA!$D$23)/1000000)+((E29*DATA!$D$24)/1000000)</f>
        <v>40.4284848</v>
      </c>
      <c r="M29" s="263">
        <f t="shared" si="2"/>
        <v>40.4284848</v>
      </c>
      <c r="N29" s="263">
        <f t="shared" ca="1" si="6"/>
        <v>4.6195145357628036</v>
      </c>
      <c r="O29" s="262">
        <f>1/(1+'[94]Asumsi I'!$C$3)^(KKF!A29)</f>
        <v>8.2642510427844609E-2</v>
      </c>
      <c r="P29" s="263">
        <f t="shared" ca="1" si="7"/>
        <v>0.38176827819335724</v>
      </c>
      <c r="Q29" s="263">
        <f t="shared" ca="1" si="9"/>
        <v>-149.25537164525369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27984</v>
      </c>
      <c r="D30" s="263">
        <f t="shared" si="5"/>
        <v>4664</v>
      </c>
      <c r="E30" s="263">
        <f t="shared" si="0"/>
        <v>23320</v>
      </c>
      <c r="F30" s="261"/>
      <c r="G30" s="265">
        <f ca="1">DATA!$D$11/1000000</f>
        <v>4.7882064862550004</v>
      </c>
      <c r="H30" s="265">
        <f>C30*DATA!$D$5/1000000</f>
        <v>30.33815528409017</v>
      </c>
      <c r="I30" s="265">
        <f>(C30*DATA!$D$5*DATA!$D$7)/1000000</f>
        <v>0.68260849389202882</v>
      </c>
      <c r="J30" s="263">
        <f t="shared" ca="1" si="1"/>
        <v>35.808970264237196</v>
      </c>
      <c r="K30" s="261"/>
      <c r="L30" s="263">
        <f>((D30*DATA!$D$23)/1000000)+((E30*DATA!$D$24)/1000000)</f>
        <v>40.4284848</v>
      </c>
      <c r="M30" s="263">
        <f t="shared" si="2"/>
        <v>40.4284848</v>
      </c>
      <c r="N30" s="263">
        <f t="shared" ca="1" si="6"/>
        <v>4.6195145357628036</v>
      </c>
      <c r="O30" s="262">
        <f>1/(1+'[94]Asumsi I'!$C$3)^(KKF!A30)</f>
        <v>7.3787955739146982E-2</v>
      </c>
      <c r="P30" s="263">
        <f t="shared" ca="1" si="7"/>
        <v>0.34086453410121187</v>
      </c>
      <c r="Q30" s="263">
        <f t="shared" ca="1" si="9"/>
        <v>-148.91450711115249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27984</v>
      </c>
      <c r="D31" s="263">
        <f t="shared" si="5"/>
        <v>4664</v>
      </c>
      <c r="E31" s="263">
        <f t="shared" si="0"/>
        <v>23320</v>
      </c>
      <c r="F31" s="261"/>
      <c r="G31" s="265">
        <f ca="1">DATA!$D$11/1000000</f>
        <v>4.7882064862550004</v>
      </c>
      <c r="H31" s="265">
        <f>C31*DATA!$D$5/1000000</f>
        <v>30.33815528409017</v>
      </c>
      <c r="I31" s="265">
        <f>(C31*DATA!$D$5*DATA!$D$7)/1000000</f>
        <v>0.68260849389202882</v>
      </c>
      <c r="J31" s="263">
        <f t="shared" ca="1" si="1"/>
        <v>35.808970264237196</v>
      </c>
      <c r="K31" s="261"/>
      <c r="L31" s="263">
        <f>((D31*DATA!$D$23)/1000000)+((E31*DATA!$D$24)/1000000)</f>
        <v>40.4284848</v>
      </c>
      <c r="M31" s="263">
        <f t="shared" si="2"/>
        <v>40.4284848</v>
      </c>
      <c r="N31" s="263">
        <f t="shared" ca="1" si="6"/>
        <v>4.6195145357628036</v>
      </c>
      <c r="O31" s="262">
        <f>1/(1+'[94]Asumsi I'!$C$3)^(KKF!A31)</f>
        <v>6.5882103338524081E-2</v>
      </c>
      <c r="P31" s="263">
        <f t="shared" ca="1" si="7"/>
        <v>0.30434333401893915</v>
      </c>
      <c r="Q31" s="263">
        <f ca="1">Q30+P31</f>
        <v>-148.61016377713355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27984</v>
      </c>
      <c r="D32" s="263">
        <f t="shared" si="5"/>
        <v>4664</v>
      </c>
      <c r="E32" s="263">
        <f t="shared" si="0"/>
        <v>23320</v>
      </c>
      <c r="F32" s="261"/>
      <c r="G32" s="265">
        <f ca="1">DATA!$D$11/1000000</f>
        <v>4.7882064862550004</v>
      </c>
      <c r="H32" s="265">
        <f>C32*DATA!$D$5/1000000</f>
        <v>30.33815528409017</v>
      </c>
      <c r="I32" s="265">
        <f>(C32*DATA!$D$5*DATA!$D$7)/1000000</f>
        <v>0.68260849389202882</v>
      </c>
      <c r="J32" s="263">
        <f t="shared" ca="1" si="1"/>
        <v>35.808970264237196</v>
      </c>
      <c r="K32" s="261"/>
      <c r="L32" s="263">
        <f>((D32*DATA!$D$23)/1000000)+((E32*DATA!$D$24)/1000000)</f>
        <v>40.4284848</v>
      </c>
      <c r="M32" s="263">
        <f t="shared" si="2"/>
        <v>40.4284848</v>
      </c>
      <c r="N32" s="263">
        <f t="shared" ca="1" si="6"/>
        <v>4.6195145357628036</v>
      </c>
      <c r="O32" s="262">
        <f>1/(1+'[94]Asumsi I'!$C$3)^(KKF!A32)</f>
        <v>5.8823306552253637E-2</v>
      </c>
      <c r="P32" s="263">
        <f t="shared" ca="1" si="7"/>
        <v>0.27173511965976704</v>
      </c>
      <c r="Q32" s="263">
        <f ca="1">Q31+P32</f>
        <v>-148.33842865747377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24" t="s">
        <v>1373</v>
      </c>
      <c r="G33" s="624"/>
      <c r="H33" s="624"/>
      <c r="I33" s="271"/>
      <c r="J33" s="272">
        <f ca="1">SUM(J7:J32)</f>
        <v>1149.763041997596</v>
      </c>
      <c r="K33" s="624" t="s">
        <v>1374</v>
      </c>
      <c r="L33" s="624"/>
      <c r="M33" s="272">
        <f>SUM(M7:M32)</f>
        <v>1080.6809815999998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55.10076511743992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0.93991626285223673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-132.44502558703013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-3.3230867523795449E-2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56"/>
  <sheetViews>
    <sheetView showGridLines="0" tabSelected="1" zoomScale="85" zoomScaleNormal="85" zoomScaleSheetLayoutView="70" workbookViewId="0">
      <pane ySplit="13" topLeftCell="A86" activePane="bottomLeft" state="frozen"/>
      <selection activeCell="H1093" sqref="H1093"/>
      <selection pane="bottomLeft" activeCell="J9" sqref="J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27" t="s">
        <v>1036</v>
      </c>
      <c r="P3" s="627"/>
      <c r="Q3" s="293"/>
      <c r="T3" s="291"/>
      <c r="U3" s="292" t="s">
        <v>1041</v>
      </c>
      <c r="V3" s="291"/>
    </row>
    <row r="4" spans="1:22" ht="15.75" customHeight="1">
      <c r="B4" s="628" t="s">
        <v>1023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44" t="s">
        <v>1641</v>
      </c>
      <c r="H6" s="645"/>
      <c r="I6" s="645"/>
      <c r="J6" s="645"/>
      <c r="K6" s="64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1643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0" t="s">
        <v>0</v>
      </c>
      <c r="C11" s="632" t="s">
        <v>1</v>
      </c>
      <c r="D11" s="635" t="s">
        <v>42</v>
      </c>
      <c r="E11" s="635" t="s">
        <v>43</v>
      </c>
      <c r="F11" s="635" t="s">
        <v>2</v>
      </c>
      <c r="G11" s="637" t="s">
        <v>41</v>
      </c>
      <c r="H11" s="635" t="s">
        <v>3</v>
      </c>
      <c r="I11" s="635"/>
      <c r="J11" s="635"/>
      <c r="K11" s="655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1"/>
      <c r="C12" s="633"/>
      <c r="D12" s="636"/>
      <c r="E12" s="636"/>
      <c r="F12" s="636"/>
      <c r="G12" s="638"/>
      <c r="H12" s="640" t="s">
        <v>46</v>
      </c>
      <c r="I12" s="640" t="s">
        <v>5</v>
      </c>
      <c r="J12" s="636" t="s">
        <v>47</v>
      </c>
      <c r="K12" s="65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1"/>
      <c r="C13" s="634"/>
      <c r="D13" s="636"/>
      <c r="E13" s="636"/>
      <c r="F13" s="636"/>
      <c r="G13" s="639"/>
      <c r="H13" s="641"/>
      <c r="I13" s="641"/>
      <c r="J13" s="636"/>
      <c r="K13" s="65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4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ref="H17" ca="1" si="5">IF(OR(D17="MDU",D17="MDU-KD"),(IF($O$3="RAB NON MDU","PLN KD",G17*F17)),0)</f>
        <v>0</v>
      </c>
      <c r="I17" s="308">
        <f t="shared" ref="I17" ca="1" si="6">IF(D17="HDW",G17*F17,0)</f>
        <v>13530400</v>
      </c>
      <c r="J17" s="308">
        <f t="shared" ref="J17" ca="1" si="7">IF(D17="JASA",G17*F17,0)</f>
        <v>0</v>
      </c>
      <c r="K17" s="309">
        <f t="shared" ref="K17" ca="1" si="8">SUM(H17:J17)</f>
        <v>13530400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514">
        <v>4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0"/>
        <v>0</v>
      </c>
      <c r="I18" s="308">
        <f t="shared" ca="1" si="1"/>
        <v>0</v>
      </c>
      <c r="J18" s="308">
        <f t="shared" ca="1" si="2"/>
        <v>40266.666666666672</v>
      </c>
      <c r="K18" s="309">
        <f t="shared" ca="1" si="3"/>
        <v>40266.666666666672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4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24" t="s">
        <v>1035</v>
      </c>
      <c r="C20" s="525" t="s">
        <v>1644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90">
        <v>2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ref="H20:H39" ca="1" si="9">IF(OR(D20="MDU",D20="MDU-KD"),(IF($O$3="RAB NON MDU","PLN KD",G20*F20)),0)</f>
        <v>0</v>
      </c>
      <c r="I20" s="308">
        <f t="shared" ref="I20:I39" ca="1" si="10">IF(D20="HDW",G20*F20,0)</f>
        <v>0</v>
      </c>
      <c r="J20" s="308">
        <f t="shared" ref="J20:J39" ca="1" si="11">IF(D20="JASA",G20*F20,0)</f>
        <v>0</v>
      </c>
      <c r="K20" s="309">
        <f t="shared" ref="K20:K39" ca="1" si="12">SUM(H20:J20)</f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24">
        <v>1</v>
      </c>
      <c r="C21" s="109" t="s">
        <v>1146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90">
        <f>F20*1</f>
        <v>2</v>
      </c>
      <c r="G21" s="307">
        <f ca="1">IF(ISERROR(OFFSET('HARGA SATUAN'!$I$6,MATCH(RAB!C21,'HARGA SATUAN'!$C$7:$C$1495,0),0)),0,OFFSET('HARGA SATUAN'!$I$6,MATCH(RAB!C21,'HARGA SATUAN'!$C$7:$C$1495,0),0))</f>
        <v>56838600</v>
      </c>
      <c r="H21" s="308">
        <f t="shared" ca="1" si="9"/>
        <v>113677200</v>
      </c>
      <c r="I21" s="308">
        <f t="shared" ca="1" si="10"/>
        <v>0</v>
      </c>
      <c r="J21" s="308">
        <f t="shared" ca="1" si="11"/>
        <v>0</v>
      </c>
      <c r="K21" s="309">
        <f t="shared" ca="1" si="12"/>
        <v>113677200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88">
        <v>2</v>
      </c>
      <c r="C22" s="515" t="s">
        <v>1614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92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ref="M22:M32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24"/>
      <c r="C23" s="515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90">
        <f>F20*(3*3)</f>
        <v>18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255600</v>
      </c>
      <c r="I23" s="308">
        <f t="shared" ca="1" si="10"/>
        <v>0</v>
      </c>
      <c r="J23" s="308">
        <f t="shared" ca="1" si="11"/>
        <v>0</v>
      </c>
      <c r="K23" s="309">
        <f t="shared" ca="1" si="12"/>
        <v>255600</v>
      </c>
      <c r="L23" s="316"/>
      <c r="M23" s="289" t="str">
        <f t="shared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24"/>
      <c r="C24" s="515" t="s">
        <v>1625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90">
        <f>F20*3</f>
        <v>6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>WARNING</v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24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90">
        <f>F20*3</f>
        <v>6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4355400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4355400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24">
        <v>4</v>
      </c>
      <c r="C26" s="525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90">
        <f>F20*3</f>
        <v>6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5089500</v>
      </c>
      <c r="I26" s="308">
        <f t="shared" ca="1" si="10"/>
        <v>0</v>
      </c>
      <c r="J26" s="308">
        <f t="shared" ca="1" si="11"/>
        <v>0</v>
      </c>
      <c r="K26" s="309">
        <f t="shared" ca="1" si="12"/>
        <v>5089500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24">
        <v>5</v>
      </c>
      <c r="C27" s="525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0">
        <f>F20*3</f>
        <v>6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9"/>
        <v>0</v>
      </c>
      <c r="I27" s="308">
        <f t="shared" ca="1" si="10"/>
        <v>108000</v>
      </c>
      <c r="J27" s="308">
        <f t="shared" ca="1" si="11"/>
        <v>0</v>
      </c>
      <c r="K27" s="309">
        <f t="shared" ca="1" si="12"/>
        <v>108000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24">
        <v>6</v>
      </c>
      <c r="C28" s="525" t="s">
        <v>1616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0">
        <f>F20*13</f>
        <v>26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1274000</v>
      </c>
      <c r="J28" s="308">
        <f t="shared" ca="1" si="11"/>
        <v>0</v>
      </c>
      <c r="K28" s="309">
        <f t="shared" ca="1" si="12"/>
        <v>1274000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24">
        <v>7</v>
      </c>
      <c r="C29" s="525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0">
        <f>F20*22</f>
        <v>44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349272</v>
      </c>
      <c r="J29" s="308">
        <f t="shared" ca="1" si="11"/>
        <v>0</v>
      </c>
      <c r="K29" s="309">
        <f t="shared" ca="1" si="12"/>
        <v>349272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24">
        <v>8</v>
      </c>
      <c r="C30" s="525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0">
        <f>F20*1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809200</v>
      </c>
      <c r="J30" s="308">
        <f t="shared" ca="1" si="11"/>
        <v>0</v>
      </c>
      <c r="K30" s="309">
        <f t="shared" ca="1" si="12"/>
        <v>809200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24">
        <v>9</v>
      </c>
      <c r="C31" s="525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90">
        <f>F20*3</f>
        <v>6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95400</v>
      </c>
      <c r="J31" s="308">
        <f t="shared" ca="1" si="11"/>
        <v>0</v>
      </c>
      <c r="K31" s="309">
        <f t="shared" ca="1" si="12"/>
        <v>95400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24">
        <v>10</v>
      </c>
      <c r="C32" s="525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90">
        <f>F20*5</f>
        <v>10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9"/>
        <v>0</v>
      </c>
      <c r="I32" s="308">
        <f t="shared" ca="1" si="10"/>
        <v>2831000</v>
      </c>
      <c r="J32" s="308">
        <f t="shared" ca="1" si="11"/>
        <v>0</v>
      </c>
      <c r="K32" s="309">
        <f t="shared" ca="1" si="12"/>
        <v>2831000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24">
        <v>11</v>
      </c>
      <c r="C33" s="525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90">
        <f>F20*4</f>
        <v>8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9"/>
        <v>0</v>
      </c>
      <c r="I33" s="308">
        <f t="shared" ca="1" si="10"/>
        <v>3044000</v>
      </c>
      <c r="J33" s="308">
        <f t="shared" ca="1" si="11"/>
        <v>0</v>
      </c>
      <c r="K33" s="309">
        <f t="shared" ca="1" si="12"/>
        <v>3044000</v>
      </c>
      <c r="L33" s="316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24">
        <v>12</v>
      </c>
      <c r="C34" s="525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90">
        <f>F20*3</f>
        <v>6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1040400</v>
      </c>
      <c r="J34" s="308">
        <f t="shared" ca="1" si="11"/>
        <v>0</v>
      </c>
      <c r="K34" s="309">
        <f t="shared" ca="1" si="12"/>
        <v>1040400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24">
        <v>13</v>
      </c>
      <c r="C35" s="525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90">
        <f>F20*1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115380</v>
      </c>
      <c r="J35" s="308">
        <f t="shared" ca="1" si="11"/>
        <v>0</v>
      </c>
      <c r="K35" s="309">
        <f t="shared" ca="1" si="12"/>
        <v>115380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24">
        <v>14</v>
      </c>
      <c r="C36" s="525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90">
        <f>F20*2</f>
        <v>4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9"/>
        <v>0</v>
      </c>
      <c r="I36" s="308">
        <f t="shared" ca="1" si="10"/>
        <v>270000</v>
      </c>
      <c r="J36" s="308">
        <f t="shared" ca="1" si="11"/>
        <v>0</v>
      </c>
      <c r="K36" s="309">
        <f t="shared" ca="1" si="12"/>
        <v>270000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24">
        <v>15</v>
      </c>
      <c r="C37" s="525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90">
        <f>F20*2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516000</v>
      </c>
      <c r="J37" s="308">
        <f t="shared" ca="1" si="11"/>
        <v>0</v>
      </c>
      <c r="K37" s="309">
        <f t="shared" ca="1" si="12"/>
        <v>516000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24">
        <v>16</v>
      </c>
      <c r="C38" s="525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90">
        <f>F20*4</f>
        <v>8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9"/>
        <v>0</v>
      </c>
      <c r="I38" s="308">
        <f t="shared" ca="1" si="10"/>
        <v>2000000</v>
      </c>
      <c r="J38" s="308">
        <f t="shared" ca="1" si="11"/>
        <v>0</v>
      </c>
      <c r="K38" s="309">
        <f t="shared" ca="1" si="12"/>
        <v>2000000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24">
        <v>17</v>
      </c>
      <c r="C39" s="525" t="s">
        <v>784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90">
        <f>F20*1</f>
        <v>2</v>
      </c>
      <c r="G39" s="307">
        <f ca="1">IF(ISERROR(OFFSET('HARGA SATUAN'!$I$6,MATCH(RAB!C39,'HARGA SATUAN'!$C$7:$C$1495,0),0)),0,OFFSET('HARGA SATUAN'!$I$6,MATCH(RAB!C39,'HARGA SATUAN'!$C$7:$C$1495,0),0))</f>
        <v>2953300</v>
      </c>
      <c r="H39" s="308">
        <f t="shared" ca="1" si="9"/>
        <v>0</v>
      </c>
      <c r="I39" s="308">
        <f t="shared" ca="1" si="10"/>
        <v>0</v>
      </c>
      <c r="J39" s="308">
        <f t="shared" ca="1" si="11"/>
        <v>5906600</v>
      </c>
      <c r="K39" s="309">
        <f t="shared" ca="1" si="12"/>
        <v>5906600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24"/>
      <c r="C40" s="525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90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ref="H40:H91" ca="1" si="14">IF(OR(D40="MDU",D40="MDU-KD"),(IF($O$3="RAB NON MDU","PLN KD",G40*F40)),0)</f>
        <v>0</v>
      </c>
      <c r="I40" s="308">
        <f t="shared" ref="I40:I91" ca="1" si="15">IF(D40="HDW",G40*F40,0)</f>
        <v>0</v>
      </c>
      <c r="J40" s="308">
        <f t="shared" ref="J40:J91" ca="1" si="16">IF(D40="JASA",G40*F40,0)</f>
        <v>0</v>
      </c>
      <c r="K40" s="309">
        <f t="shared" ref="K40:K91" ca="1" si="17">SUM(H40:J40)</f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88" t="s">
        <v>1035</v>
      </c>
      <c r="C41" s="526" t="s">
        <v>1645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90">
        <v>4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4"/>
        <v>0</v>
      </c>
      <c r="I41" s="308">
        <f t="shared" ca="1" si="15"/>
        <v>0</v>
      </c>
      <c r="J41" s="308">
        <f t="shared" ca="1" si="16"/>
        <v>0</v>
      </c>
      <c r="K41" s="309">
        <f t="shared" ca="1" si="17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88">
        <v>1</v>
      </c>
      <c r="C42" s="527" t="s">
        <v>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90">
        <f>F41*1</f>
        <v>4</v>
      </c>
      <c r="G42" s="307">
        <f ca="1">IF(ISERROR(OFFSET('HARGA SATUAN'!$I$6,MATCH(RAB!C42,'HARGA SATUAN'!$C$7:$C$1495,0),0)),0,OFFSET('HARGA SATUAN'!$I$6,MATCH(RAB!C42,'HARGA SATUAN'!$C$7:$C$1495,0),0))</f>
        <v>185200</v>
      </c>
      <c r="H42" s="308">
        <f t="shared" ca="1" si="14"/>
        <v>0</v>
      </c>
      <c r="I42" s="308">
        <f t="shared" ca="1" si="15"/>
        <v>740800</v>
      </c>
      <c r="J42" s="308">
        <f t="shared" ca="1" si="16"/>
        <v>0</v>
      </c>
      <c r="K42" s="309">
        <f t="shared" ca="1" si="17"/>
        <v>740800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24">
        <v>2</v>
      </c>
      <c r="C43" s="525" t="s">
        <v>30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90">
        <f>F41*1</f>
        <v>4</v>
      </c>
      <c r="G43" s="307">
        <f ca="1">IF(ISERROR(OFFSET('HARGA SATUAN'!$I$6,MATCH(RAB!C43,'HARGA SATUAN'!$C$7:$C$1495,0),0)),0,OFFSET('HARGA SATUAN'!$I$6,MATCH(RAB!C43,'HARGA SATUAN'!$C$7:$C$1495,0),0))</f>
        <v>47459</v>
      </c>
      <c r="H43" s="308">
        <f t="shared" ca="1" si="14"/>
        <v>0</v>
      </c>
      <c r="I43" s="308">
        <f t="shared" ca="1" si="15"/>
        <v>189836</v>
      </c>
      <c r="J43" s="308">
        <f t="shared" ca="1" si="16"/>
        <v>0</v>
      </c>
      <c r="K43" s="309">
        <f t="shared" ca="1" si="17"/>
        <v>189836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24">
        <v>3</v>
      </c>
      <c r="C44" s="525" t="s">
        <v>31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90">
        <f>F41*1</f>
        <v>4</v>
      </c>
      <c r="G44" s="307">
        <f ca="1">IF(ISERROR(OFFSET('HARGA SATUAN'!$I$6,MATCH(RAB!C44,'HARGA SATUAN'!$C$7:$C$1495,0),0)),0,OFFSET('HARGA SATUAN'!$I$6,MATCH(RAB!C44,'HARGA SATUAN'!$C$7:$C$1495,0),0))</f>
        <v>4880</v>
      </c>
      <c r="H44" s="308">
        <f t="shared" ca="1" si="14"/>
        <v>0</v>
      </c>
      <c r="I44" s="308">
        <f t="shared" ca="1" si="15"/>
        <v>19520</v>
      </c>
      <c r="J44" s="308">
        <f t="shared" ca="1" si="16"/>
        <v>0</v>
      </c>
      <c r="K44" s="309">
        <f t="shared" ca="1" si="17"/>
        <v>19520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24">
        <v>4</v>
      </c>
      <c r="C45" s="525" t="s">
        <v>32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Mtr</v>
      </c>
      <c r="F45" s="490">
        <f>F41*10</f>
        <v>40</v>
      </c>
      <c r="G45" s="307">
        <f ca="1">IF(ISERROR(OFFSET('HARGA SATUAN'!$I$6,MATCH(RAB!C45,'HARGA SATUAN'!$C$7:$C$1495,0),0)),0,OFFSET('HARGA SATUAN'!$I$6,MATCH(RAB!C45,'HARGA SATUAN'!$C$7:$C$1495,0),0))</f>
        <v>30000</v>
      </c>
      <c r="H45" s="308">
        <f t="shared" ca="1" si="14"/>
        <v>0</v>
      </c>
      <c r="I45" s="308">
        <f t="shared" ca="1" si="15"/>
        <v>1200000</v>
      </c>
      <c r="J45" s="308">
        <f t="shared" ca="1" si="16"/>
        <v>0</v>
      </c>
      <c r="K45" s="309">
        <f t="shared" ca="1" si="17"/>
        <v>1200000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24">
        <v>5</v>
      </c>
      <c r="C46" s="525" t="s">
        <v>33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90">
        <f>F41*2</f>
        <v>8</v>
      </c>
      <c r="G46" s="307">
        <f ca="1">IF(ISERROR(OFFSET('HARGA SATUAN'!$I$6,MATCH(RAB!C46,'HARGA SATUAN'!$C$7:$C$1495,0),0)),0,OFFSET('HARGA SATUAN'!$I$6,MATCH(RAB!C46,'HARGA SATUAN'!$C$7:$C$1495,0),0))</f>
        <v>9500</v>
      </c>
      <c r="H46" s="308">
        <f t="shared" ca="1" si="14"/>
        <v>0</v>
      </c>
      <c r="I46" s="308">
        <f t="shared" ca="1" si="15"/>
        <v>76000</v>
      </c>
      <c r="J46" s="308">
        <f t="shared" ca="1" si="16"/>
        <v>0</v>
      </c>
      <c r="K46" s="309">
        <f t="shared" ca="1" si="17"/>
        <v>76000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24">
        <v>6</v>
      </c>
      <c r="C47" s="525" t="s">
        <v>34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90">
        <f>F41*5.5</f>
        <v>22</v>
      </c>
      <c r="G47" s="307">
        <f ca="1">IF(ISERROR(OFFSET('HARGA SATUAN'!$I$6,MATCH(RAB!C47,'HARGA SATUAN'!$C$7:$C$1495,0),0)),0,OFFSET('HARGA SATUAN'!$I$6,MATCH(RAB!C47,'HARGA SATUAN'!$C$7:$C$1495,0),0))</f>
        <v>6100</v>
      </c>
      <c r="H47" s="308">
        <f t="shared" ca="1" si="14"/>
        <v>0</v>
      </c>
      <c r="I47" s="308">
        <f t="shared" ca="1" si="15"/>
        <v>134200</v>
      </c>
      <c r="J47" s="308">
        <f t="shared" ca="1" si="16"/>
        <v>0</v>
      </c>
      <c r="K47" s="309">
        <f t="shared" ca="1" si="17"/>
        <v>134200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24">
        <v>7</v>
      </c>
      <c r="C48" s="525" t="s">
        <v>35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90">
        <f>F41*6</f>
        <v>24</v>
      </c>
      <c r="G48" s="307">
        <f ca="1">IF(ISERROR(OFFSET('HARGA SATUAN'!$I$6,MATCH(RAB!C48,'HARGA SATUAN'!$C$7:$C$1495,0),0)),0,OFFSET('HARGA SATUAN'!$I$6,MATCH(RAB!C48,'HARGA SATUAN'!$C$7:$C$1495,0),0))</f>
        <v>2300</v>
      </c>
      <c r="H48" s="308">
        <f t="shared" ca="1" si="14"/>
        <v>0</v>
      </c>
      <c r="I48" s="308">
        <f t="shared" ca="1" si="15"/>
        <v>55200</v>
      </c>
      <c r="J48" s="308">
        <f t="shared" ca="1" si="16"/>
        <v>0</v>
      </c>
      <c r="K48" s="309">
        <f t="shared" ca="1" si="17"/>
        <v>55200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24">
        <v>8</v>
      </c>
      <c r="C49" s="525" t="s">
        <v>1646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490">
        <f>F41*4.8</f>
        <v>19.2</v>
      </c>
      <c r="G49" s="307">
        <f ca="1">IF(ISERROR(OFFSET('HARGA SATUAN'!$I$6,MATCH(RAB!C49,'HARGA SATUAN'!$C$7:$C$1495,0),0)),0,OFFSET('HARGA SATUAN'!$I$6,MATCH(RAB!C49,'HARGA SATUAN'!$C$7:$C$1495,0),0))</f>
        <v>23310</v>
      </c>
      <c r="H49" s="308">
        <f t="shared" ca="1" si="14"/>
        <v>0</v>
      </c>
      <c r="I49" s="308">
        <f t="shared" ca="1" si="15"/>
        <v>447552</v>
      </c>
      <c r="J49" s="308">
        <f t="shared" ca="1" si="16"/>
        <v>0</v>
      </c>
      <c r="K49" s="309">
        <f t="shared" ca="1" si="17"/>
        <v>447552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24">
        <v>9</v>
      </c>
      <c r="C50" s="525" t="s">
        <v>736</v>
      </c>
      <c r="D50" s="305" t="str">
        <f ca="1">IF(ISERROR(OFFSET('HARGA SATUAN'!$D$6,MATCH(RAB!C50,'HARGA SATUAN'!$C$7:$C$1495,0),0)),"",OFFSET('HARGA SATUAN'!$D$6,MATCH(RAB!C50,'HARGA SATUAN'!$C$7:$C$1495,0),0))</f>
        <v>JASA</v>
      </c>
      <c r="E50" s="306" t="str">
        <f ca="1">IF(B50="+","Unit",IF(ISERROR(OFFSET('HARGA SATUAN'!$E$6,MATCH(RAB!C50,'HARGA SATUAN'!$C$7:$C$1495,0),0)),"",OFFSET('HARGA SATUAN'!$E$6,MATCH(RAB!C50,'HARGA SATUAN'!$C$7:$C$1495,0),0)))</f>
        <v>Unit</v>
      </c>
      <c r="F50" s="490">
        <f>F41*1</f>
        <v>4</v>
      </c>
      <c r="G50" s="307">
        <f ca="1">IF(ISERROR(OFFSET('HARGA SATUAN'!$I$6,MATCH(RAB!C50,'HARGA SATUAN'!$C$7:$C$1495,0),0)),0,OFFSET('HARGA SATUAN'!$I$6,MATCH(RAB!C50,'HARGA SATUAN'!$C$7:$C$1495,0),0))</f>
        <v>65400</v>
      </c>
      <c r="H50" s="308">
        <f t="shared" ca="1" si="14"/>
        <v>0</v>
      </c>
      <c r="I50" s="308">
        <f t="shared" ca="1" si="15"/>
        <v>0</v>
      </c>
      <c r="J50" s="308">
        <f t="shared" ca="1" si="16"/>
        <v>261600</v>
      </c>
      <c r="K50" s="309">
        <f t="shared" ca="1" si="17"/>
        <v>261600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24"/>
      <c r="C51" s="525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90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4"/>
        <v>0</v>
      </c>
      <c r="I51" s="308">
        <f t="shared" ca="1" si="15"/>
        <v>0</v>
      </c>
      <c r="J51" s="308">
        <f t="shared" ca="1" si="16"/>
        <v>0</v>
      </c>
      <c r="K51" s="309">
        <f t="shared" ca="1" si="17"/>
        <v>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24" t="s">
        <v>1035</v>
      </c>
      <c r="C52" s="525" t="s">
        <v>1634</v>
      </c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90">
        <v>2</v>
      </c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4"/>
        <v>0</v>
      </c>
      <c r="I52" s="308">
        <f t="shared" ca="1" si="15"/>
        <v>0</v>
      </c>
      <c r="J52" s="308">
        <f t="shared" ca="1" si="16"/>
        <v>0</v>
      </c>
      <c r="K52" s="309">
        <f t="shared" ca="1" si="17"/>
        <v>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24">
        <v>1</v>
      </c>
      <c r="C53" s="525" t="s">
        <v>229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90">
        <f>F52*1</f>
        <v>2</v>
      </c>
      <c r="G53" s="307">
        <f ca="1">IF(ISERROR(OFFSET('HARGA SATUAN'!$I$6,MATCH(RAB!C53,'HARGA SATUAN'!$C$7:$C$1495,0),0)),0,OFFSET('HARGA SATUAN'!$I$6,MATCH(RAB!C53,'HARGA SATUAN'!$C$7:$C$1495,0),0))</f>
        <v>4212</v>
      </c>
      <c r="H53" s="308">
        <f t="shared" ca="1" si="14"/>
        <v>0</v>
      </c>
      <c r="I53" s="308">
        <f t="shared" ca="1" si="15"/>
        <v>8424</v>
      </c>
      <c r="J53" s="308">
        <f t="shared" ca="1" si="16"/>
        <v>0</v>
      </c>
      <c r="K53" s="309">
        <f t="shared" ca="1" si="17"/>
        <v>8424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24">
        <v>2</v>
      </c>
      <c r="C54" s="525" t="s">
        <v>266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Mtr</v>
      </c>
      <c r="F54" s="490">
        <f>F52*1</f>
        <v>2</v>
      </c>
      <c r="G54" s="307">
        <f ca="1">IF(ISERROR(OFFSET('HARGA SATUAN'!$I$6,MATCH(RAB!C54,'HARGA SATUAN'!$C$7:$C$1495,0),0)),0,OFFSET('HARGA SATUAN'!$I$6,MATCH(RAB!C54,'HARGA SATUAN'!$C$7:$C$1495,0),0))</f>
        <v>23310</v>
      </c>
      <c r="H54" s="308">
        <f t="shared" ca="1" si="14"/>
        <v>0</v>
      </c>
      <c r="I54" s="308">
        <f t="shared" ca="1" si="15"/>
        <v>46620</v>
      </c>
      <c r="J54" s="308">
        <f t="shared" ca="1" si="16"/>
        <v>0</v>
      </c>
      <c r="K54" s="309">
        <f t="shared" ca="1" si="17"/>
        <v>46620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24">
        <v>3</v>
      </c>
      <c r="C55" s="525" t="s">
        <v>35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90">
        <f>F52*1</f>
        <v>2</v>
      </c>
      <c r="G55" s="307">
        <f ca="1">IF(ISERROR(OFFSET('HARGA SATUAN'!$I$6,MATCH(RAB!C55,'HARGA SATUAN'!$C$7:$C$1495,0),0)),0,OFFSET('HARGA SATUAN'!$I$6,MATCH(RAB!C55,'HARGA SATUAN'!$C$7:$C$1495,0),0))</f>
        <v>2300</v>
      </c>
      <c r="H55" s="308">
        <f t="shared" ca="1" si="14"/>
        <v>0</v>
      </c>
      <c r="I55" s="308">
        <f t="shared" ca="1" si="15"/>
        <v>4600</v>
      </c>
      <c r="J55" s="308">
        <f t="shared" ca="1" si="16"/>
        <v>0</v>
      </c>
      <c r="K55" s="309">
        <f t="shared" ca="1" si="17"/>
        <v>4600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24">
        <v>4</v>
      </c>
      <c r="C56" s="525" t="s">
        <v>609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90">
        <f>F52*1</f>
        <v>2</v>
      </c>
      <c r="G56" s="307">
        <f ca="1">IF(ISERROR(OFFSET('HARGA SATUAN'!$I$6,MATCH(RAB!C56,'HARGA SATUAN'!$C$7:$C$1495,0),0)),0,OFFSET('HARGA SATUAN'!$I$6,MATCH(RAB!C56,'HARGA SATUAN'!$C$7:$C$1495,0),0))</f>
        <v>71000</v>
      </c>
      <c r="H56" s="308">
        <f t="shared" ca="1" si="14"/>
        <v>0</v>
      </c>
      <c r="I56" s="308">
        <f t="shared" ca="1" si="15"/>
        <v>142000</v>
      </c>
      <c r="J56" s="308">
        <f t="shared" ca="1" si="16"/>
        <v>0</v>
      </c>
      <c r="K56" s="309">
        <f t="shared" ca="1" si="17"/>
        <v>142000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24">
        <v>5</v>
      </c>
      <c r="C57" s="525" t="s">
        <v>629</v>
      </c>
      <c r="D57" s="305" t="str">
        <f ca="1">IF(ISERROR(OFFSET('HARGA SATUAN'!$D$6,MATCH(RAB!C57,'HARGA SATUAN'!$C$7:$C$1495,0),0)),"",OFFSET('HARGA SATUAN'!$D$6,MATCH(RAB!C57,'HARGA SATUAN'!$C$7:$C$1495,0),0))</f>
        <v>JASA</v>
      </c>
      <c r="E57" s="306" t="str">
        <f ca="1">IF(B57="+","Unit",IF(ISERROR(OFFSET('HARGA SATUAN'!$E$6,MATCH(RAB!C57,'HARGA SATUAN'!$C$7:$C$1495,0),0)),"",OFFSET('HARGA SATUAN'!$E$6,MATCH(RAB!C57,'HARGA SATUAN'!$C$7:$C$1495,0),0)))</f>
        <v>Unit</v>
      </c>
      <c r="F57" s="490">
        <f>F52*1</f>
        <v>2</v>
      </c>
      <c r="G57" s="307">
        <f ca="1">IF(ISERROR(OFFSET('HARGA SATUAN'!$I$6,MATCH(RAB!C57,'HARGA SATUAN'!$C$7:$C$1495,0),0)),0,OFFSET('HARGA SATUAN'!$I$6,MATCH(RAB!C57,'HARGA SATUAN'!$C$7:$C$1495,0),0))</f>
        <v>29400</v>
      </c>
      <c r="H57" s="308">
        <f t="shared" ca="1" si="14"/>
        <v>0</v>
      </c>
      <c r="I57" s="308">
        <f t="shared" ca="1" si="15"/>
        <v>0</v>
      </c>
      <c r="J57" s="308">
        <f t="shared" ca="1" si="16"/>
        <v>58800</v>
      </c>
      <c r="K57" s="309">
        <f t="shared" ca="1" si="17"/>
        <v>58800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24"/>
      <c r="C58" s="525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90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4"/>
        <v>0</v>
      </c>
      <c r="I58" s="308">
        <f t="shared" ca="1" si="15"/>
        <v>0</v>
      </c>
      <c r="J58" s="308">
        <f t="shared" ca="1" si="16"/>
        <v>0</v>
      </c>
      <c r="K58" s="309">
        <f t="shared" ca="1" si="17"/>
        <v>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24" t="s">
        <v>1035</v>
      </c>
      <c r="C59" s="525" t="s">
        <v>1633</v>
      </c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490">
        <v>14</v>
      </c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4"/>
        <v>0</v>
      </c>
      <c r="I59" s="308">
        <f t="shared" ca="1" si="15"/>
        <v>0</v>
      </c>
      <c r="J59" s="308">
        <f t="shared" ca="1" si="16"/>
        <v>0</v>
      </c>
      <c r="K59" s="309">
        <f t="shared" ca="1" si="17"/>
        <v>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24">
        <v>1</v>
      </c>
      <c r="C60" s="525" t="s">
        <v>595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90">
        <f>F59*1</f>
        <v>14</v>
      </c>
      <c r="G60" s="307">
        <f ca="1">IF(ISERROR(OFFSET('HARGA SATUAN'!$I$6,MATCH(RAB!C60,'HARGA SATUAN'!$C$7:$C$1495,0),0)),0,OFFSET('HARGA SATUAN'!$I$6,MATCH(RAB!C60,'HARGA SATUAN'!$C$7:$C$1495,0),0))</f>
        <v>78500</v>
      </c>
      <c r="H60" s="308">
        <f t="shared" ca="1" si="14"/>
        <v>0</v>
      </c>
      <c r="I60" s="308">
        <f t="shared" ca="1" si="15"/>
        <v>1099000</v>
      </c>
      <c r="J60" s="308">
        <f t="shared" ca="1" si="16"/>
        <v>0</v>
      </c>
      <c r="K60" s="309">
        <f t="shared" ca="1" si="17"/>
        <v>1099000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24">
        <v>2</v>
      </c>
      <c r="C61" s="525" t="s">
        <v>229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90">
        <f>F59*1</f>
        <v>14</v>
      </c>
      <c r="G61" s="307">
        <f ca="1">IF(ISERROR(OFFSET('HARGA SATUAN'!$I$6,MATCH(RAB!C61,'HARGA SATUAN'!$C$7:$C$1495,0),0)),0,OFFSET('HARGA SATUAN'!$I$6,MATCH(RAB!C61,'HARGA SATUAN'!$C$7:$C$1495,0),0))</f>
        <v>4212</v>
      </c>
      <c r="H61" s="308">
        <f t="shared" ca="1" si="14"/>
        <v>0</v>
      </c>
      <c r="I61" s="308">
        <f t="shared" ca="1" si="15"/>
        <v>58968</v>
      </c>
      <c r="J61" s="308">
        <f t="shared" ca="1" si="16"/>
        <v>0</v>
      </c>
      <c r="K61" s="309">
        <f t="shared" ca="1" si="17"/>
        <v>58968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24">
        <v>3</v>
      </c>
      <c r="C62" s="525" t="s">
        <v>266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Mtr</v>
      </c>
      <c r="F62" s="490">
        <f>F59*1</f>
        <v>14</v>
      </c>
      <c r="G62" s="307">
        <f ca="1">IF(ISERROR(OFFSET('HARGA SATUAN'!$I$6,MATCH(RAB!C62,'HARGA SATUAN'!$C$7:$C$1495,0),0)),0,OFFSET('HARGA SATUAN'!$I$6,MATCH(RAB!C62,'HARGA SATUAN'!$C$7:$C$1495,0),0))</f>
        <v>23310</v>
      </c>
      <c r="H62" s="308">
        <f t="shared" ca="1" si="14"/>
        <v>0</v>
      </c>
      <c r="I62" s="308">
        <f t="shared" ca="1" si="15"/>
        <v>326340</v>
      </c>
      <c r="J62" s="308">
        <f t="shared" ca="1" si="16"/>
        <v>0</v>
      </c>
      <c r="K62" s="309">
        <f t="shared" ca="1" si="17"/>
        <v>326340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24">
        <v>4</v>
      </c>
      <c r="C63" s="525" t="s">
        <v>35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490">
        <f>F59*1</f>
        <v>14</v>
      </c>
      <c r="G63" s="307">
        <f ca="1">IF(ISERROR(OFFSET('HARGA SATUAN'!$I$6,MATCH(RAB!C63,'HARGA SATUAN'!$C$7:$C$1495,0),0)),0,OFFSET('HARGA SATUAN'!$I$6,MATCH(RAB!C63,'HARGA SATUAN'!$C$7:$C$1495,0),0))</f>
        <v>2300</v>
      </c>
      <c r="H63" s="308">
        <f t="shared" ca="1" si="14"/>
        <v>0</v>
      </c>
      <c r="I63" s="308">
        <f t="shared" ca="1" si="15"/>
        <v>32200</v>
      </c>
      <c r="J63" s="308">
        <f t="shared" ca="1" si="16"/>
        <v>0</v>
      </c>
      <c r="K63" s="309">
        <f t="shared" ca="1" si="17"/>
        <v>32200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24">
        <v>5</v>
      </c>
      <c r="C64" s="525" t="s">
        <v>630</v>
      </c>
      <c r="D64" s="305" t="str">
        <f ca="1">IF(ISERROR(OFFSET('HARGA SATUAN'!$D$6,MATCH(RAB!C64,'HARGA SATUAN'!$C$7:$C$1495,0),0)),"",OFFSET('HARGA SATUAN'!$D$6,MATCH(RAB!C64,'HARGA SATUAN'!$C$7:$C$1495,0),0))</f>
        <v>JASA</v>
      </c>
      <c r="E64" s="306" t="str">
        <f ca="1">IF(B64="+","Unit",IF(ISERROR(OFFSET('HARGA SATUAN'!$E$6,MATCH(RAB!C64,'HARGA SATUAN'!$C$7:$C$1495,0),0)),"",OFFSET('HARGA SATUAN'!$E$6,MATCH(RAB!C64,'HARGA SATUAN'!$C$7:$C$1495,0),0)))</f>
        <v>Unit</v>
      </c>
      <c r="F64" s="490">
        <f>F59*1</f>
        <v>14</v>
      </c>
      <c r="G64" s="307">
        <f ca="1">IF(ISERROR(OFFSET('HARGA SATUAN'!$I$6,MATCH(RAB!C64,'HARGA SATUAN'!$C$7:$C$1495,0),0)),0,OFFSET('HARGA SATUAN'!$I$6,MATCH(RAB!C64,'HARGA SATUAN'!$C$7:$C$1495,0),0))</f>
        <v>35700</v>
      </c>
      <c r="H64" s="308">
        <f t="shared" ca="1" si="14"/>
        <v>0</v>
      </c>
      <c r="I64" s="308">
        <f t="shared" ca="1" si="15"/>
        <v>0</v>
      </c>
      <c r="J64" s="308">
        <f t="shared" ca="1" si="16"/>
        <v>499800</v>
      </c>
      <c r="K64" s="309">
        <f t="shared" ca="1" si="17"/>
        <v>499800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24"/>
      <c r="C65" s="525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90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4"/>
        <v>0</v>
      </c>
      <c r="I65" s="308">
        <f t="shared" ca="1" si="15"/>
        <v>0</v>
      </c>
      <c r="J65" s="308">
        <f t="shared" ca="1" si="16"/>
        <v>0</v>
      </c>
      <c r="K65" s="309">
        <f t="shared" ca="1" si="17"/>
        <v>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24" t="s">
        <v>1035</v>
      </c>
      <c r="C66" s="525" t="s">
        <v>1635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490">
        <v>8</v>
      </c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4"/>
        <v>0</v>
      </c>
      <c r="I66" s="308">
        <f t="shared" ca="1" si="15"/>
        <v>0</v>
      </c>
      <c r="J66" s="308">
        <f t="shared" ca="1" si="16"/>
        <v>0</v>
      </c>
      <c r="K66" s="309">
        <f t="shared" ca="1" si="17"/>
        <v>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24">
        <v>1</v>
      </c>
      <c r="C67" s="525" t="s">
        <v>30</v>
      </c>
      <c r="D67" s="305" t="str">
        <f ca="1">IF(ISERROR(OFFSET('HARGA SATUAN'!$D$6,MATCH(RAB!C67,'HARGA SATUAN'!$C$7:$C$1495,0),0)),"",OFFSET('HARGA SATUAN'!$D$6,MATCH(RAB!C67,'HARGA SATUAN'!$C$7:$C$1495,0),0))</f>
        <v>HDW</v>
      </c>
      <c r="E67" s="306" t="str">
        <f ca="1">IF(B67="+","Unit",IF(ISERROR(OFFSET('HARGA SATUAN'!$E$6,MATCH(RAB!C67,'HARGA SATUAN'!$C$7:$C$1495,0),0)),"",OFFSET('HARGA SATUAN'!$E$6,MATCH(RAB!C67,'HARGA SATUAN'!$C$7:$C$1495,0),0)))</f>
        <v>Bh</v>
      </c>
      <c r="F67" s="490">
        <f>F66*1</f>
        <v>8</v>
      </c>
      <c r="G67" s="307">
        <f ca="1">IF(ISERROR(OFFSET('HARGA SATUAN'!$I$6,MATCH(RAB!C67,'HARGA SATUAN'!$C$7:$C$1495,0),0)),0,OFFSET('HARGA SATUAN'!$I$6,MATCH(RAB!C67,'HARGA SATUAN'!$C$7:$C$1495,0),0))</f>
        <v>47459</v>
      </c>
      <c r="H67" s="308">
        <f t="shared" ca="1" si="14"/>
        <v>0</v>
      </c>
      <c r="I67" s="308">
        <f t="shared" ca="1" si="15"/>
        <v>379672</v>
      </c>
      <c r="J67" s="308">
        <f t="shared" ca="1" si="16"/>
        <v>0</v>
      </c>
      <c r="K67" s="309">
        <f t="shared" ca="1" si="17"/>
        <v>379672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24">
        <v>2</v>
      </c>
      <c r="C68" s="525" t="s">
        <v>32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Mtr</v>
      </c>
      <c r="F68" s="490">
        <f>F66*0.8</f>
        <v>6.4</v>
      </c>
      <c r="G68" s="307">
        <f ca="1">IF(ISERROR(OFFSET('HARGA SATUAN'!$I$6,MATCH(RAB!C68,'HARGA SATUAN'!$C$7:$C$1495,0),0)),0,OFFSET('HARGA SATUAN'!$I$6,MATCH(RAB!C68,'HARGA SATUAN'!$C$7:$C$1495,0),0))</f>
        <v>30000</v>
      </c>
      <c r="H68" s="308">
        <f t="shared" ca="1" si="14"/>
        <v>0</v>
      </c>
      <c r="I68" s="308">
        <f t="shared" ca="1" si="15"/>
        <v>192000</v>
      </c>
      <c r="J68" s="308">
        <f t="shared" ca="1" si="16"/>
        <v>0</v>
      </c>
      <c r="K68" s="309">
        <f t="shared" ca="1" si="17"/>
        <v>192000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24">
        <v>3</v>
      </c>
      <c r="C69" s="525" t="s">
        <v>33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90">
        <f>F66*1</f>
        <v>8</v>
      </c>
      <c r="G69" s="307">
        <f ca="1">IF(ISERROR(OFFSET('HARGA SATUAN'!$I$6,MATCH(RAB!C69,'HARGA SATUAN'!$C$7:$C$1495,0),0)),0,OFFSET('HARGA SATUAN'!$I$6,MATCH(RAB!C69,'HARGA SATUAN'!$C$7:$C$1495,0),0))</f>
        <v>9500</v>
      </c>
      <c r="H69" s="308">
        <f t="shared" ca="1" si="14"/>
        <v>0</v>
      </c>
      <c r="I69" s="308">
        <f t="shared" ca="1" si="15"/>
        <v>76000</v>
      </c>
      <c r="J69" s="308">
        <f t="shared" ca="1" si="16"/>
        <v>0</v>
      </c>
      <c r="K69" s="309">
        <f t="shared" ca="1" si="17"/>
        <v>76000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524">
        <v>4</v>
      </c>
      <c r="C70" s="525" t="s">
        <v>737</v>
      </c>
      <c r="D70" s="305" t="str">
        <f ca="1">IF(ISERROR(OFFSET('HARGA SATUAN'!$D$6,MATCH(RAB!C70,'HARGA SATUAN'!$C$7:$C$1495,0),0)),"",OFFSET('HARGA SATUAN'!$D$6,MATCH(RAB!C70,'HARGA SATUAN'!$C$7:$C$1495,0),0))</f>
        <v>JASA</v>
      </c>
      <c r="E70" s="306" t="str">
        <f ca="1">IF(B70="+","Unit",IF(ISERROR(OFFSET('HARGA SATUAN'!$E$6,MATCH(RAB!C70,'HARGA SATUAN'!$C$7:$C$1495,0),0)),"",OFFSET('HARGA SATUAN'!$E$6,MATCH(RAB!C70,'HARGA SATUAN'!$C$7:$C$1495,0),0)))</f>
        <v>Unit</v>
      </c>
      <c r="F70" s="490">
        <f>F66*1</f>
        <v>8</v>
      </c>
      <c r="G70" s="307">
        <f ca="1">IF(ISERROR(OFFSET('HARGA SATUAN'!$I$6,MATCH(RAB!C70,'HARGA SATUAN'!$C$7:$C$1495,0),0)),0,OFFSET('HARGA SATUAN'!$I$6,MATCH(RAB!C70,'HARGA SATUAN'!$C$7:$C$1495,0),0))</f>
        <v>16200</v>
      </c>
      <c r="H70" s="308">
        <f t="shared" ca="1" si="14"/>
        <v>0</v>
      </c>
      <c r="I70" s="308">
        <f t="shared" ca="1" si="15"/>
        <v>0</v>
      </c>
      <c r="J70" s="308">
        <f t="shared" ca="1" si="16"/>
        <v>129600</v>
      </c>
      <c r="K70" s="309">
        <f t="shared" ca="1" si="17"/>
        <v>129600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24"/>
      <c r="C71" s="525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90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4"/>
        <v>0</v>
      </c>
      <c r="I71" s="308">
        <f t="shared" ca="1" si="15"/>
        <v>0</v>
      </c>
      <c r="J71" s="308">
        <f t="shared" ca="1" si="16"/>
        <v>0</v>
      </c>
      <c r="K71" s="309">
        <f t="shared" ca="1" si="17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24" t="s">
        <v>1035</v>
      </c>
      <c r="C72" s="525" t="s">
        <v>1638</v>
      </c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90">
        <v>2</v>
      </c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4"/>
        <v>0</v>
      </c>
      <c r="I72" s="308">
        <f t="shared" ca="1" si="15"/>
        <v>0</v>
      </c>
      <c r="J72" s="308">
        <f t="shared" ca="1" si="16"/>
        <v>0</v>
      </c>
      <c r="K72" s="309">
        <f t="shared" ca="1" si="17"/>
        <v>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4">
        <v>1</v>
      </c>
      <c r="C73" s="525" t="s">
        <v>30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90">
        <f>F72*1</f>
        <v>2</v>
      </c>
      <c r="G73" s="307">
        <f ca="1">IF(ISERROR(OFFSET('HARGA SATUAN'!$I$6,MATCH(RAB!C73,'HARGA SATUAN'!$C$7:$C$1495,0),0)),0,OFFSET('HARGA SATUAN'!$I$6,MATCH(RAB!C73,'HARGA SATUAN'!$C$7:$C$1495,0),0))</f>
        <v>47459</v>
      </c>
      <c r="H73" s="308">
        <f t="shared" ca="1" si="14"/>
        <v>0</v>
      </c>
      <c r="I73" s="308">
        <f t="shared" ca="1" si="15"/>
        <v>94918</v>
      </c>
      <c r="J73" s="308">
        <f t="shared" ca="1" si="16"/>
        <v>0</v>
      </c>
      <c r="K73" s="309">
        <f t="shared" ca="1" si="17"/>
        <v>94918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4">
        <v>2</v>
      </c>
      <c r="C74" s="525" t="s">
        <v>32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490">
        <f>F72*1</f>
        <v>2</v>
      </c>
      <c r="G74" s="307">
        <f ca="1">IF(ISERROR(OFFSET('HARGA SATUAN'!$I$6,MATCH(RAB!C74,'HARGA SATUAN'!$C$7:$C$1495,0),0)),0,OFFSET('HARGA SATUAN'!$I$6,MATCH(RAB!C74,'HARGA SATUAN'!$C$7:$C$1495,0),0))</f>
        <v>30000</v>
      </c>
      <c r="H74" s="308">
        <f t="shared" ca="1" si="14"/>
        <v>0</v>
      </c>
      <c r="I74" s="308">
        <f t="shared" ca="1" si="15"/>
        <v>60000</v>
      </c>
      <c r="J74" s="308">
        <f t="shared" ca="1" si="16"/>
        <v>0</v>
      </c>
      <c r="K74" s="309">
        <f t="shared" ca="1" si="17"/>
        <v>60000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4">
        <v>3</v>
      </c>
      <c r="C75" s="525" t="s">
        <v>33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90">
        <f>F72*1</f>
        <v>2</v>
      </c>
      <c r="G75" s="307">
        <f ca="1">IF(ISERROR(OFFSET('HARGA SATUAN'!$I$6,MATCH(RAB!C75,'HARGA SATUAN'!$C$7:$C$1495,0),0)),0,OFFSET('HARGA SATUAN'!$I$6,MATCH(RAB!C75,'HARGA SATUAN'!$C$7:$C$1495,0),0))</f>
        <v>9500</v>
      </c>
      <c r="H75" s="308">
        <f t="shared" ca="1" si="14"/>
        <v>0</v>
      </c>
      <c r="I75" s="308">
        <f t="shared" ca="1" si="15"/>
        <v>19000</v>
      </c>
      <c r="J75" s="308">
        <f t="shared" ca="1" si="16"/>
        <v>0</v>
      </c>
      <c r="K75" s="309">
        <f t="shared" ca="1" si="17"/>
        <v>19000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24">
        <v>4</v>
      </c>
      <c r="C76" s="525" t="s">
        <v>738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90">
        <f>F72*1</f>
        <v>2</v>
      </c>
      <c r="G76" s="307">
        <f ca="1">IF(ISERROR(OFFSET('HARGA SATUAN'!$I$6,MATCH(RAB!C76,'HARGA SATUAN'!$C$7:$C$1495,0),0)),0,OFFSET('HARGA SATUAN'!$I$6,MATCH(RAB!C76,'HARGA SATUAN'!$C$7:$C$1495,0),0))</f>
        <v>21200</v>
      </c>
      <c r="H76" s="308">
        <f t="shared" ca="1" si="14"/>
        <v>0</v>
      </c>
      <c r="I76" s="308">
        <f t="shared" ca="1" si="15"/>
        <v>0</v>
      </c>
      <c r="J76" s="308">
        <f t="shared" ca="1" si="16"/>
        <v>42400</v>
      </c>
      <c r="K76" s="309">
        <f t="shared" ca="1" si="17"/>
        <v>42400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24"/>
      <c r="C77" s="525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90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14"/>
        <v>0</v>
      </c>
      <c r="I77" s="308">
        <f t="shared" ca="1" si="15"/>
        <v>0</v>
      </c>
      <c r="J77" s="308">
        <f t="shared" ca="1" si="16"/>
        <v>0</v>
      </c>
      <c r="K77" s="309">
        <f t="shared" ca="1" si="17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488" t="s">
        <v>1035</v>
      </c>
      <c r="C78" s="527" t="s">
        <v>1636</v>
      </c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490">
        <v>2</v>
      </c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14"/>
        <v>0</v>
      </c>
      <c r="I78" s="308">
        <f t="shared" ca="1" si="15"/>
        <v>0</v>
      </c>
      <c r="J78" s="308">
        <f t="shared" ca="1" si="16"/>
        <v>0</v>
      </c>
      <c r="K78" s="309">
        <f t="shared" ca="1" si="17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524">
        <v>1</v>
      </c>
      <c r="C79" s="525" t="s">
        <v>28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90">
        <f>F78*1</f>
        <v>2</v>
      </c>
      <c r="G79" s="307">
        <f ca="1">IF(ISERROR(OFFSET('HARGA SATUAN'!$I$6,MATCH(RAB!C79,'HARGA SATUAN'!$C$7:$C$1495,0),0)),0,OFFSET('HARGA SATUAN'!$I$6,MATCH(RAB!C79,'HARGA SATUAN'!$C$7:$C$1495,0),0))</f>
        <v>26500</v>
      </c>
      <c r="H79" s="308">
        <f t="shared" ca="1" si="14"/>
        <v>0</v>
      </c>
      <c r="I79" s="308">
        <f t="shared" ca="1" si="15"/>
        <v>53000</v>
      </c>
      <c r="J79" s="308">
        <f t="shared" ca="1" si="16"/>
        <v>0</v>
      </c>
      <c r="K79" s="309">
        <f t="shared" ca="1" si="17"/>
        <v>53000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24">
        <v>2</v>
      </c>
      <c r="C80" s="525" t="s">
        <v>203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90">
        <f>F78*1</f>
        <v>2</v>
      </c>
      <c r="G80" s="307">
        <f ca="1">IF(ISERROR(OFFSET('HARGA SATUAN'!$I$6,MATCH(RAB!C80,'HARGA SATUAN'!$C$7:$C$1495,0),0)),0,OFFSET('HARGA SATUAN'!$I$6,MATCH(RAB!C80,'HARGA SATUAN'!$C$7:$C$1495,0),0))</f>
        <v>12500</v>
      </c>
      <c r="H80" s="308">
        <f t="shared" ca="1" si="14"/>
        <v>0</v>
      </c>
      <c r="I80" s="308">
        <f t="shared" ca="1" si="15"/>
        <v>25000</v>
      </c>
      <c r="J80" s="308">
        <f t="shared" ca="1" si="16"/>
        <v>0</v>
      </c>
      <c r="K80" s="309">
        <f t="shared" ca="1" si="17"/>
        <v>25000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524">
        <v>3</v>
      </c>
      <c r="C81" s="525" t="s">
        <v>205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Mtr</v>
      </c>
      <c r="F81" s="490">
        <f>F78*12</f>
        <v>24</v>
      </c>
      <c r="G81" s="307">
        <f ca="1">IF(ISERROR(OFFSET('HARGA SATUAN'!$I$6,MATCH(RAB!C81,'HARGA SATUAN'!$C$7:$C$1495,0),0)),0,OFFSET('HARGA SATUAN'!$I$6,MATCH(RAB!C81,'HARGA SATUAN'!$C$7:$C$1495,0),0))</f>
        <v>24300</v>
      </c>
      <c r="H81" s="308">
        <f t="shared" ca="1" si="14"/>
        <v>0</v>
      </c>
      <c r="I81" s="308">
        <f t="shared" ca="1" si="15"/>
        <v>583200</v>
      </c>
      <c r="J81" s="308">
        <f t="shared" ca="1" si="16"/>
        <v>0</v>
      </c>
      <c r="K81" s="309">
        <f t="shared" ca="1" si="17"/>
        <v>583200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524">
        <v>4</v>
      </c>
      <c r="C82" s="525" t="s">
        <v>287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90">
        <f>F78*2</f>
        <v>4</v>
      </c>
      <c r="G82" s="307">
        <f ca="1">IF(ISERROR(OFFSET('HARGA SATUAN'!$I$6,MATCH(RAB!C82,'HARGA SATUAN'!$C$7:$C$1495,0),0)),0,OFFSET('HARGA SATUAN'!$I$6,MATCH(RAB!C82,'HARGA SATUAN'!$C$7:$C$1495,0),0))</f>
        <v>40000</v>
      </c>
      <c r="H82" s="308">
        <f t="shared" ca="1" si="14"/>
        <v>0</v>
      </c>
      <c r="I82" s="308">
        <f t="shared" ca="1" si="15"/>
        <v>160000</v>
      </c>
      <c r="J82" s="308">
        <f t="shared" ca="1" si="16"/>
        <v>0</v>
      </c>
      <c r="K82" s="309">
        <f t="shared" ca="1" si="17"/>
        <v>160000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24">
        <v>5</v>
      </c>
      <c r="C83" s="525" t="s">
        <v>26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90">
        <f>F78*1</f>
        <v>2</v>
      </c>
      <c r="G83" s="307">
        <f ca="1">IF(ISERROR(OFFSET('HARGA SATUAN'!$I$6,MATCH(RAB!C83,'HARGA SATUAN'!$C$7:$C$1495,0),0)),0,OFFSET('HARGA SATUAN'!$I$6,MATCH(RAB!C83,'HARGA SATUAN'!$C$7:$C$1495,0),0))</f>
        <v>2500</v>
      </c>
      <c r="H83" s="308">
        <f t="shared" ca="1" si="14"/>
        <v>0</v>
      </c>
      <c r="I83" s="308">
        <f t="shared" ca="1" si="15"/>
        <v>5000</v>
      </c>
      <c r="J83" s="308">
        <f t="shared" ca="1" si="16"/>
        <v>0</v>
      </c>
      <c r="K83" s="309">
        <f t="shared" ca="1" si="17"/>
        <v>5000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24">
        <v>6</v>
      </c>
      <c r="C84" s="525" t="s">
        <v>759</v>
      </c>
      <c r="D84" s="305" t="str">
        <f ca="1">IF(ISERROR(OFFSET('HARGA SATUAN'!$D$6,MATCH(RAB!C84,'HARGA SATUAN'!$C$7:$C$1495,0),0)),"",OFFSET('HARGA SATUAN'!$D$6,MATCH(RAB!C84,'HARGA SATUAN'!$C$7:$C$1495,0),0))</f>
        <v>JASA</v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490">
        <f>F78*1</f>
        <v>2</v>
      </c>
      <c r="G84" s="307">
        <f ca="1">IF(ISERROR(OFFSET('HARGA SATUAN'!$I$6,MATCH(RAB!C84,'HARGA SATUAN'!$C$7:$C$1495,0),0)),0,OFFSET('HARGA SATUAN'!$I$6,MATCH(RAB!C84,'HARGA SATUAN'!$C$7:$C$1495,0),0))</f>
        <v>43500</v>
      </c>
      <c r="H84" s="308">
        <f t="shared" ca="1" si="14"/>
        <v>0</v>
      </c>
      <c r="I84" s="308">
        <f t="shared" ca="1" si="15"/>
        <v>0</v>
      </c>
      <c r="J84" s="308">
        <f t="shared" ca="1" si="16"/>
        <v>87000</v>
      </c>
      <c r="K84" s="309">
        <f t="shared" ca="1" si="17"/>
        <v>87000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24"/>
      <c r="C85" s="525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90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14"/>
        <v>0</v>
      </c>
      <c r="I85" s="308">
        <f t="shared" ca="1" si="15"/>
        <v>0</v>
      </c>
      <c r="J85" s="308">
        <f t="shared" ca="1" si="16"/>
        <v>0</v>
      </c>
      <c r="K85" s="309">
        <f t="shared" ca="1" si="17"/>
        <v>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24" t="s">
        <v>1035</v>
      </c>
      <c r="C86" s="525" t="s">
        <v>1637</v>
      </c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>Unit</v>
      </c>
      <c r="F86" s="528">
        <v>2</v>
      </c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14"/>
        <v>0</v>
      </c>
      <c r="I86" s="308">
        <f t="shared" ca="1" si="15"/>
        <v>0</v>
      </c>
      <c r="J86" s="308">
        <f t="shared" ca="1" si="16"/>
        <v>0</v>
      </c>
      <c r="K86" s="309">
        <f t="shared" ca="1" si="17"/>
        <v>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24">
        <v>1</v>
      </c>
      <c r="C87" s="525" t="s">
        <v>262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528">
        <f>F86*1</f>
        <v>2</v>
      </c>
      <c r="G87" s="307">
        <f ca="1">IF(ISERROR(OFFSET('HARGA SATUAN'!$I$6,MATCH(RAB!C87,'HARGA SATUAN'!$C$7:$C$1495,0),0)),0,OFFSET('HARGA SATUAN'!$I$6,MATCH(RAB!C87,'HARGA SATUAN'!$C$7:$C$1495,0),0))</f>
        <v>104200</v>
      </c>
      <c r="H87" s="308">
        <f t="shared" ca="1" si="14"/>
        <v>0</v>
      </c>
      <c r="I87" s="308">
        <f t="shared" ca="1" si="15"/>
        <v>208400</v>
      </c>
      <c r="J87" s="308">
        <f t="shared" ca="1" si="16"/>
        <v>0</v>
      </c>
      <c r="K87" s="309">
        <f t="shared" ca="1" si="17"/>
        <v>208400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24">
        <v>2</v>
      </c>
      <c r="C88" s="525" t="s">
        <v>596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528">
        <f>F86*1</f>
        <v>2</v>
      </c>
      <c r="G88" s="307">
        <f ca="1">IF(ISERROR(OFFSET('HARGA SATUAN'!$I$6,MATCH(RAB!C88,'HARGA SATUAN'!$C$7:$C$1495,0),0)),0,OFFSET('HARGA SATUAN'!$I$6,MATCH(RAB!C88,'HARGA SATUAN'!$C$7:$C$1495,0),0))</f>
        <v>120000</v>
      </c>
      <c r="H88" s="308">
        <f t="shared" ca="1" si="14"/>
        <v>0</v>
      </c>
      <c r="I88" s="308">
        <f t="shared" ca="1" si="15"/>
        <v>240000</v>
      </c>
      <c r="J88" s="308">
        <f t="shared" ca="1" si="16"/>
        <v>0</v>
      </c>
      <c r="K88" s="309">
        <f t="shared" ca="1" si="17"/>
        <v>240000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24">
        <v>4</v>
      </c>
      <c r="C89" s="525" t="s">
        <v>214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490">
        <f>F86*1</f>
        <v>2</v>
      </c>
      <c r="G89" s="307">
        <f ca="1">IF(ISERROR(OFFSET('HARGA SATUAN'!$I$6,MATCH(RAB!C89,'HARGA SATUAN'!$C$7:$C$1495,0),0)),0,OFFSET('HARGA SATUAN'!$I$6,MATCH(RAB!C89,'HARGA SATUAN'!$C$7:$C$1495,0),0))</f>
        <v>4500</v>
      </c>
      <c r="H89" s="308">
        <f t="shared" ca="1" si="14"/>
        <v>0</v>
      </c>
      <c r="I89" s="308">
        <f t="shared" ca="1" si="15"/>
        <v>9000</v>
      </c>
      <c r="J89" s="308">
        <f t="shared" ca="1" si="16"/>
        <v>0</v>
      </c>
      <c r="K89" s="309">
        <f t="shared" ca="1" si="17"/>
        <v>9000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24">
        <v>3</v>
      </c>
      <c r="C90" s="525" t="s">
        <v>767</v>
      </c>
      <c r="D90" s="305" t="str">
        <f ca="1">IF(ISERROR(OFFSET('HARGA SATUAN'!$D$6,MATCH(RAB!C90,'HARGA SATUAN'!$C$7:$C$1495,0),0)),"",OFFSET('HARGA SATUAN'!$D$6,MATCH(RAB!C90,'HARGA SATUAN'!$C$7:$C$1495,0),0))</f>
        <v>JASA</v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528">
        <f>F86*1</f>
        <v>2</v>
      </c>
      <c r="G90" s="307">
        <f ca="1">IF(ISERROR(OFFSET('HARGA SATUAN'!$I$6,MATCH(RAB!C90,'HARGA SATUAN'!$C$7:$C$1495,0),0)),0,OFFSET('HARGA SATUAN'!$I$6,MATCH(RAB!C90,'HARGA SATUAN'!$C$7:$C$1495,0),0))</f>
        <v>55500</v>
      </c>
      <c r="H90" s="308">
        <f t="shared" ca="1" si="14"/>
        <v>0</v>
      </c>
      <c r="I90" s="308">
        <f t="shared" ca="1" si="15"/>
        <v>0</v>
      </c>
      <c r="J90" s="308">
        <f t="shared" ca="1" si="16"/>
        <v>111000</v>
      </c>
      <c r="K90" s="309">
        <f t="shared" ca="1" si="17"/>
        <v>111000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524"/>
      <c r="C91" s="525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90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14"/>
        <v>0</v>
      </c>
      <c r="I91" s="308">
        <f t="shared" ca="1" si="15"/>
        <v>0</v>
      </c>
      <c r="J91" s="308">
        <f t="shared" ca="1" si="16"/>
        <v>0</v>
      </c>
      <c r="K91" s="309">
        <f t="shared" ca="1" si="17"/>
        <v>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486"/>
      <c r="C92" s="487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92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ref="H92:H118" ca="1" si="18">IF(OR(D92="MDU",D92="MDU-KD"),(IF($O$3="RAB NON MDU","PLN KD",G92*F92)),0)</f>
        <v>0</v>
      </c>
      <c r="I92" s="308">
        <f t="shared" ref="I92:I118" ca="1" si="19">IF(D92="HDW",G92*F92,0)</f>
        <v>0</v>
      </c>
      <c r="J92" s="308">
        <f t="shared" ref="J92:J118" ca="1" si="20">IF(D92="JASA",G92*F92,0)</f>
        <v>0</v>
      </c>
      <c r="K92" s="309">
        <f t="shared" ref="K92:K118" ca="1" si="21">SUM(H92:J92)</f>
        <v>0</v>
      </c>
      <c r="L92" s="316"/>
      <c r="M92" s="289" t="e">
        <f>IF(AND(F92&gt;0,#REF!=0),"",IF(AND(ISBLANK(F92)=FALSE,K92=0),"WARNING",""))</f>
        <v>#REF!</v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86"/>
      <c r="C93" s="487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92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18"/>
        <v>0</v>
      </c>
      <c r="I93" s="308">
        <f t="shared" ca="1" si="19"/>
        <v>0</v>
      </c>
      <c r="J93" s="308">
        <f t="shared" ca="1" si="20"/>
        <v>0</v>
      </c>
      <c r="K93" s="309">
        <f t="shared" ca="1" si="21"/>
        <v>0</v>
      </c>
      <c r="L93" s="316"/>
      <c r="M93" s="289" t="str">
        <f t="shared" ref="M93:M132" ca="1" si="22">IF(AND(F93&gt;0,F92=0),"",IF(AND(ISBLANK(F93)=FALSE,K93=0),"WARNING",""))</f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86"/>
      <c r="C94" s="487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92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18"/>
        <v>0</v>
      </c>
      <c r="I94" s="308">
        <f t="shared" ca="1" si="19"/>
        <v>0</v>
      </c>
      <c r="J94" s="308">
        <f t="shared" ca="1" si="20"/>
        <v>0</v>
      </c>
      <c r="K94" s="309">
        <f t="shared" ca="1" si="21"/>
        <v>0</v>
      </c>
      <c r="L94" s="316"/>
      <c r="M94" s="289" t="str">
        <f t="shared" ca="1" si="22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86"/>
      <c r="C95" s="487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92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18"/>
        <v>0</v>
      </c>
      <c r="I95" s="308">
        <f t="shared" ca="1" si="19"/>
        <v>0</v>
      </c>
      <c r="J95" s="308">
        <f t="shared" ca="1" si="20"/>
        <v>0</v>
      </c>
      <c r="K95" s="309">
        <f t="shared" ca="1" si="21"/>
        <v>0</v>
      </c>
      <c r="L95" s="316"/>
      <c r="M95" s="289" t="str">
        <f t="shared" ca="1" si="22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86"/>
      <c r="C96" s="487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92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18"/>
        <v>0</v>
      </c>
      <c r="I96" s="308">
        <f t="shared" ca="1" si="19"/>
        <v>0</v>
      </c>
      <c r="J96" s="308">
        <f t="shared" ca="1" si="20"/>
        <v>0</v>
      </c>
      <c r="K96" s="309">
        <f t="shared" ca="1" si="21"/>
        <v>0</v>
      </c>
      <c r="L96" s="316"/>
      <c r="M96" s="289" t="str">
        <f t="shared" ca="1" si="22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86"/>
      <c r="C97" s="487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92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18"/>
        <v>0</v>
      </c>
      <c r="I97" s="308">
        <f t="shared" ca="1" si="19"/>
        <v>0</v>
      </c>
      <c r="J97" s="308">
        <f t="shared" ca="1" si="20"/>
        <v>0</v>
      </c>
      <c r="K97" s="309">
        <f t="shared" ca="1" si="21"/>
        <v>0</v>
      </c>
      <c r="L97" s="316"/>
      <c r="M97" s="289" t="str">
        <f t="shared" ca="1" si="22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86"/>
      <c r="C98" s="487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92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18"/>
        <v>0</v>
      </c>
      <c r="I98" s="308">
        <f t="shared" ca="1" si="19"/>
        <v>0</v>
      </c>
      <c r="J98" s="308">
        <f t="shared" ca="1" si="20"/>
        <v>0</v>
      </c>
      <c r="K98" s="309">
        <f t="shared" ca="1" si="21"/>
        <v>0</v>
      </c>
      <c r="L98" s="316"/>
      <c r="M98" s="289" t="str">
        <f t="shared" ca="1" si="22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86"/>
      <c r="C99" s="487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92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18"/>
        <v>0</v>
      </c>
      <c r="I99" s="308">
        <f t="shared" ca="1" si="19"/>
        <v>0</v>
      </c>
      <c r="J99" s="308">
        <f t="shared" ca="1" si="20"/>
        <v>0</v>
      </c>
      <c r="K99" s="309">
        <f t="shared" ca="1" si="21"/>
        <v>0</v>
      </c>
      <c r="L99" s="316"/>
      <c r="M99" s="289" t="str">
        <f t="shared" ca="1" si="22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86"/>
      <c r="C100" s="487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92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18"/>
        <v>0</v>
      </c>
      <c r="I100" s="308">
        <f t="shared" ca="1" si="19"/>
        <v>0</v>
      </c>
      <c r="J100" s="308">
        <f t="shared" ca="1" si="20"/>
        <v>0</v>
      </c>
      <c r="K100" s="309">
        <f t="shared" ca="1" si="21"/>
        <v>0</v>
      </c>
      <c r="L100" s="316"/>
      <c r="M100" s="289" t="str">
        <f t="shared" ca="1" si="22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86"/>
      <c r="C101" s="487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92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18"/>
        <v>0</v>
      </c>
      <c r="I101" s="308">
        <f t="shared" ca="1" si="19"/>
        <v>0</v>
      </c>
      <c r="J101" s="308">
        <f t="shared" ca="1" si="20"/>
        <v>0</v>
      </c>
      <c r="K101" s="309">
        <f t="shared" ca="1" si="21"/>
        <v>0</v>
      </c>
      <c r="L101" s="316"/>
      <c r="M101" s="289" t="str">
        <f t="shared" ca="1" si="22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86"/>
      <c r="C102" s="487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92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18"/>
        <v>0</v>
      </c>
      <c r="I102" s="308">
        <f t="shared" ca="1" si="19"/>
        <v>0</v>
      </c>
      <c r="J102" s="308">
        <f t="shared" ca="1" si="20"/>
        <v>0</v>
      </c>
      <c r="K102" s="309">
        <f t="shared" ca="1" si="21"/>
        <v>0</v>
      </c>
      <c r="L102" s="316"/>
      <c r="M102" s="289" t="str">
        <f t="shared" ca="1" si="22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86"/>
      <c r="C103" s="487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92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18"/>
        <v>0</v>
      </c>
      <c r="I103" s="308">
        <f t="shared" ca="1" si="19"/>
        <v>0</v>
      </c>
      <c r="J103" s="308">
        <f t="shared" ca="1" si="20"/>
        <v>0</v>
      </c>
      <c r="K103" s="309">
        <f t="shared" ca="1" si="21"/>
        <v>0</v>
      </c>
      <c r="L103" s="316"/>
      <c r="M103" s="289" t="str">
        <f t="shared" ca="1" si="22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86"/>
      <c r="C104" s="487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92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18"/>
        <v>0</v>
      </c>
      <c r="I104" s="308">
        <f t="shared" ca="1" si="19"/>
        <v>0</v>
      </c>
      <c r="J104" s="308">
        <f t="shared" ca="1" si="20"/>
        <v>0</v>
      </c>
      <c r="K104" s="309">
        <f t="shared" ca="1" si="21"/>
        <v>0</v>
      </c>
      <c r="L104" s="316"/>
      <c r="M104" s="289" t="str">
        <f t="shared" ca="1" si="22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86"/>
      <c r="C105" s="487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92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18"/>
        <v>0</v>
      </c>
      <c r="I105" s="308">
        <f t="shared" ca="1" si="19"/>
        <v>0</v>
      </c>
      <c r="J105" s="308">
        <f t="shared" ca="1" si="20"/>
        <v>0</v>
      </c>
      <c r="K105" s="309">
        <f t="shared" ca="1" si="21"/>
        <v>0</v>
      </c>
      <c r="L105" s="316"/>
      <c r="M105" s="289" t="str">
        <f t="shared" ca="1" si="22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86"/>
      <c r="C106" s="487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92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18"/>
        <v>0</v>
      </c>
      <c r="I106" s="308">
        <f t="shared" ca="1" si="19"/>
        <v>0</v>
      </c>
      <c r="J106" s="308">
        <f t="shared" ca="1" si="20"/>
        <v>0</v>
      </c>
      <c r="K106" s="309">
        <f t="shared" ca="1" si="21"/>
        <v>0</v>
      </c>
      <c r="L106" s="316"/>
      <c r="M106" s="289" t="str">
        <f t="shared" ca="1" si="22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86"/>
      <c r="C107" s="487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92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18"/>
        <v>0</v>
      </c>
      <c r="I107" s="308">
        <f t="shared" ca="1" si="19"/>
        <v>0</v>
      </c>
      <c r="J107" s="308">
        <f t="shared" ca="1" si="20"/>
        <v>0</v>
      </c>
      <c r="K107" s="309">
        <f t="shared" ca="1" si="21"/>
        <v>0</v>
      </c>
      <c r="L107" s="316"/>
      <c r="M107" s="289" t="str">
        <f t="shared" ca="1" si="22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86"/>
      <c r="C108" s="487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92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18"/>
        <v>0</v>
      </c>
      <c r="I108" s="308">
        <f t="shared" ca="1" si="19"/>
        <v>0</v>
      </c>
      <c r="J108" s="308">
        <f t="shared" ca="1" si="20"/>
        <v>0</v>
      </c>
      <c r="K108" s="309">
        <f t="shared" ca="1" si="21"/>
        <v>0</v>
      </c>
      <c r="L108" s="316"/>
      <c r="M108" s="289" t="str">
        <f t="shared" ca="1" si="22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86"/>
      <c r="C109" s="487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92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18"/>
        <v>0</v>
      </c>
      <c r="I109" s="308">
        <f t="shared" ca="1" si="19"/>
        <v>0</v>
      </c>
      <c r="J109" s="308">
        <f t="shared" ca="1" si="20"/>
        <v>0</v>
      </c>
      <c r="K109" s="309">
        <f t="shared" ca="1" si="21"/>
        <v>0</v>
      </c>
      <c r="L109" s="316"/>
      <c r="M109" s="289" t="str">
        <f t="shared" ca="1" si="22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86"/>
      <c r="C110" s="487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92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18"/>
        <v>0</v>
      </c>
      <c r="I110" s="308">
        <f t="shared" ca="1" si="19"/>
        <v>0</v>
      </c>
      <c r="J110" s="308">
        <f t="shared" ca="1" si="20"/>
        <v>0</v>
      </c>
      <c r="K110" s="309">
        <f t="shared" ca="1" si="21"/>
        <v>0</v>
      </c>
      <c r="L110" s="316"/>
      <c r="M110" s="289" t="str">
        <f t="shared" ca="1" si="22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86"/>
      <c r="C111" s="487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92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18"/>
        <v>0</v>
      </c>
      <c r="I111" s="308">
        <f t="shared" ca="1" si="19"/>
        <v>0</v>
      </c>
      <c r="J111" s="308">
        <f t="shared" ca="1" si="20"/>
        <v>0</v>
      </c>
      <c r="K111" s="309">
        <f t="shared" ca="1" si="21"/>
        <v>0</v>
      </c>
      <c r="L111" s="316"/>
      <c r="M111" s="289" t="str">
        <f t="shared" ca="1" si="22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idden="1">
      <c r="A112" s="283"/>
      <c r="B112" s="486"/>
      <c r="C112" s="487"/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92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18"/>
        <v>0</v>
      </c>
      <c r="I112" s="308">
        <f t="shared" ca="1" si="19"/>
        <v>0</v>
      </c>
      <c r="J112" s="308">
        <f t="shared" ca="1" si="20"/>
        <v>0</v>
      </c>
      <c r="K112" s="309">
        <f t="shared" ca="1" si="21"/>
        <v>0</v>
      </c>
      <c r="L112" s="316"/>
      <c r="M112" s="289" t="str">
        <f t="shared" ca="1" si="22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idden="1">
      <c r="A113" s="283"/>
      <c r="B113" s="486"/>
      <c r="C113" s="487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92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18"/>
        <v>0</v>
      </c>
      <c r="I113" s="308">
        <f t="shared" ca="1" si="19"/>
        <v>0</v>
      </c>
      <c r="J113" s="308">
        <f t="shared" ca="1" si="20"/>
        <v>0</v>
      </c>
      <c r="K113" s="309">
        <f t="shared" ca="1" si="21"/>
        <v>0</v>
      </c>
      <c r="L113" s="316"/>
      <c r="M113" s="289" t="str">
        <f t="shared" ca="1" si="22"/>
        <v/>
      </c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418" t="s">
        <v>1602</v>
      </c>
      <c r="C114" s="421" t="s">
        <v>1604</v>
      </c>
      <c r="D114" s="305" t="str">
        <f ca="1">IF(ISERROR(OFFSET('HARGA SATUAN'!$D$6,MATCH(RAB!C114,'HARGA SATUAN'!$C$7:$C$1495,0),0)),"",OFFSET('HARGA SATUAN'!$D$6,MATCH(RAB!C114,'HARGA SATUAN'!$C$7:$C$1495,0),0))</f>
        <v/>
      </c>
      <c r="E114" s="306" t="str">
        <f ca="1">IF(B114="+","Unit",IF(ISERROR(OFFSET('HARGA SATUAN'!$E$6,MATCH(RAB!C114,'HARGA SATUAN'!$C$7:$C$1495,0),0)),"",OFFSET('HARGA SATUAN'!$E$6,MATCH(RAB!C114,'HARGA SATUAN'!$C$7:$C$1495,0),0)))</f>
        <v/>
      </c>
      <c r="F114" s="493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18"/>
        <v>0</v>
      </c>
      <c r="I114" s="308">
        <f t="shared" ca="1" si="19"/>
        <v>0</v>
      </c>
      <c r="J114" s="308">
        <f t="shared" ca="1" si="20"/>
        <v>0</v>
      </c>
      <c r="K114" s="309">
        <f t="shared" ca="1" si="21"/>
        <v>0</v>
      </c>
      <c r="L114" s="316"/>
      <c r="M114" s="289" t="str">
        <f t="shared" ca="1" si="22"/>
        <v/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318">
        <v>1</v>
      </c>
      <c r="C115" s="109" t="s">
        <v>1457</v>
      </c>
      <c r="D115" s="305" t="str">
        <f ca="1">IF(ISERROR(OFFSET('HARGA SATUAN'!$D$6,MATCH(RAB!C115,'HARGA SATUAN'!$C$7:$C$1495,0),0)),"",OFFSET('HARGA SATUAN'!$D$6,MATCH(RAB!C115,'HARGA SATUAN'!$C$7:$C$1495,0),0))</f>
        <v>MDU-KD</v>
      </c>
      <c r="E115" s="306" t="str">
        <f ca="1">IF(B115="+","Unit",IF(ISERROR(OFFSET('HARGA SATUAN'!$E$6,MATCH(RAB!C115,'HARGA SATUAN'!$C$7:$C$1495,0),0)),"",OFFSET('HARGA SATUAN'!$E$6,MATCH(RAB!C115,'HARGA SATUAN'!$C$7:$C$1495,0),0)))</f>
        <v>Mtr</v>
      </c>
      <c r="F115" s="528">
        <v>480</v>
      </c>
      <c r="G115" s="307">
        <f ca="1">IF(ISERROR(OFFSET('HARGA SATUAN'!$I$6,MATCH(RAB!C115,'HARGA SATUAN'!$C$7:$C$1495,0),0)),0,OFFSET('HARGA SATUAN'!$I$6,MATCH(RAB!C115,'HARGA SATUAN'!$C$7:$C$1495,0),0))</f>
        <v>54500</v>
      </c>
      <c r="H115" s="308">
        <f t="shared" ca="1" si="18"/>
        <v>26160000</v>
      </c>
      <c r="I115" s="308">
        <f t="shared" ca="1" si="19"/>
        <v>0</v>
      </c>
      <c r="J115" s="308">
        <f t="shared" ca="1" si="20"/>
        <v>0</v>
      </c>
      <c r="K115" s="309">
        <f t="shared" ca="1" si="21"/>
        <v>26160000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318">
        <v>2</v>
      </c>
      <c r="C116" s="109" t="s">
        <v>346</v>
      </c>
      <c r="D116" s="305" t="str">
        <f ca="1">IF(ISERROR(OFFSET('HARGA SATUAN'!$D$6,MATCH(RAB!C116,'HARGA SATUAN'!$C$7:$C$1495,0),0)),"",OFFSET('HARGA SATUAN'!$D$6,MATCH(RAB!C116,'HARGA SATUAN'!$C$7:$C$1495,0),0))</f>
        <v>JASA</v>
      </c>
      <c r="E116" s="306" t="str">
        <f ca="1">IF(B116="+","Unit",IF(ISERROR(OFFSET('HARGA SATUAN'!$E$6,MATCH(RAB!C116,'HARGA SATUAN'!$C$7:$C$1495,0),0)),"",OFFSET('HARGA SATUAN'!$E$6,MATCH(RAB!C116,'HARGA SATUAN'!$C$7:$C$1495,0),0)))</f>
        <v>Per 50 m</v>
      </c>
      <c r="F116" s="491">
        <v>9.6</v>
      </c>
      <c r="G116" s="307">
        <f ca="1">IF(ISERROR(OFFSET('HARGA SATUAN'!$I$6,MATCH(RAB!C116,'HARGA SATUAN'!$C$7:$C$1495,0),0)),0,OFFSET('HARGA SATUAN'!$I$6,MATCH(RAB!C116,'HARGA SATUAN'!$C$7:$C$1495,0),0))</f>
        <v>223500</v>
      </c>
      <c r="H116" s="308">
        <f t="shared" ca="1" si="18"/>
        <v>0</v>
      </c>
      <c r="I116" s="308">
        <f t="shared" ca="1" si="19"/>
        <v>0</v>
      </c>
      <c r="J116" s="308">
        <f t="shared" ca="1" si="20"/>
        <v>2145600</v>
      </c>
      <c r="K116" s="309">
        <f t="shared" ca="1" si="21"/>
        <v>2145600</v>
      </c>
      <c r="L116" s="316"/>
      <c r="M116" s="289" t="e">
        <f>IF(AND(F116&gt;0,#REF!=0),"",IF(AND(ISBLANK(F116)=FALSE,K116=0),"WARNING",""))</f>
        <v>#REF!</v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418" t="s">
        <v>1610</v>
      </c>
      <c r="C117" s="421" t="s">
        <v>1606</v>
      </c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/>
      </c>
      <c r="F117" s="494"/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18"/>
        <v>0</v>
      </c>
      <c r="I117" s="308">
        <f t="shared" ca="1" si="19"/>
        <v>0</v>
      </c>
      <c r="J117" s="308">
        <f t="shared" ca="1" si="20"/>
        <v>0</v>
      </c>
      <c r="K117" s="309">
        <f t="shared" ca="1" si="21"/>
        <v>0</v>
      </c>
      <c r="L117" s="316"/>
      <c r="M117" s="289" t="str">
        <f t="shared" ca="1" si="22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489" t="s">
        <v>1035</v>
      </c>
      <c r="C118" s="516" t="s">
        <v>1628</v>
      </c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>Unit</v>
      </c>
      <c r="F118" s="517">
        <v>1</v>
      </c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ca="1" si="18"/>
        <v>0</v>
      </c>
      <c r="I118" s="308">
        <f t="shared" ca="1" si="19"/>
        <v>0</v>
      </c>
      <c r="J118" s="308">
        <f t="shared" ca="1" si="20"/>
        <v>0</v>
      </c>
      <c r="K118" s="309">
        <f t="shared" ca="1" si="21"/>
        <v>0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 ht="30">
      <c r="A119" s="283"/>
      <c r="B119" s="519">
        <v>1</v>
      </c>
      <c r="C119" s="109" t="s">
        <v>1195</v>
      </c>
      <c r="D119" s="305" t="str">
        <f ca="1">IF(ISERROR(OFFSET('HARGA SATUAN'!$D$6,MATCH(RAB!C119,'HARGA SATUAN'!$C$7:$C$1495,0),0)),"",OFFSET('HARGA SATUAN'!$D$6,MATCH(RAB!C119,'HARGA SATUAN'!$C$7:$C$1495,0),0))</f>
        <v>MDU-KD</v>
      </c>
      <c r="E119" s="306" t="str">
        <f ca="1">IF(B119="+","Unit",IF(ISERROR(OFFSET('HARGA SATUAN'!$E$6,MATCH(RAB!C119,'HARGA SATUAN'!$C$7:$C$1495,0),0)),"",OFFSET('HARGA SATUAN'!$E$6,MATCH(RAB!C119,'HARGA SATUAN'!$C$7:$C$1495,0),0)))</f>
        <v>Bh</v>
      </c>
      <c r="F119" s="517">
        <f>F118*1</f>
        <v>1</v>
      </c>
      <c r="G119" s="307">
        <f ca="1">IF(ISERROR(OFFSET('HARGA SATUAN'!$I$6,MATCH(RAB!C119,'HARGA SATUAN'!$C$7:$C$1495,0),0)),0,OFFSET('HARGA SATUAN'!$I$6,MATCH(RAB!C119,'HARGA SATUAN'!$C$7:$C$1495,0),0))</f>
        <v>1504200</v>
      </c>
      <c r="H119" s="308">
        <f t="shared" ref="H119:H135" ca="1" si="23">IF(OR(D119="MDU",D119="MDU-KD"),(IF($O$3="RAB NON MDU","PLN KD",G119*F119)),0)</f>
        <v>1504200</v>
      </c>
      <c r="I119" s="308">
        <f t="shared" ref="I119:I135" ca="1" si="24">IF(D119="HDW",G119*F119,0)</f>
        <v>0</v>
      </c>
      <c r="J119" s="308">
        <f t="shared" ref="J119:J135" ca="1" si="25">IF(D119="JASA",G119*F119,0)</f>
        <v>0</v>
      </c>
      <c r="K119" s="309">
        <f t="shared" ref="K119:K135" ca="1" si="26">SUM(H119:J119)</f>
        <v>1504200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519">
        <v>2</v>
      </c>
      <c r="C120" s="520" t="s">
        <v>516</v>
      </c>
      <c r="D120" s="305" t="str">
        <f ca="1">IF(ISERROR(OFFSET('HARGA SATUAN'!$D$6,MATCH(RAB!C120,'HARGA SATUAN'!$C$7:$C$1495,0),0)),"",OFFSET('HARGA SATUAN'!$D$6,MATCH(RAB!C120,'HARGA SATUAN'!$C$7:$C$1495,0),0))</f>
        <v>MDU-KD</v>
      </c>
      <c r="E120" s="306" t="str">
        <f ca="1">IF(B120="+","Unit",IF(ISERROR(OFFSET('HARGA SATUAN'!$E$6,MATCH(RAB!C120,'HARGA SATUAN'!$C$7:$C$1495,0),0)),"",OFFSET('HARGA SATUAN'!$E$6,MATCH(RAB!C120,'HARGA SATUAN'!$C$7:$C$1495,0),0)))</f>
        <v>Unit</v>
      </c>
      <c r="F120" s="517">
        <f>F118*1</f>
        <v>1</v>
      </c>
      <c r="G120" s="307">
        <f ca="1">IF(ISERROR(OFFSET('HARGA SATUAN'!$I$6,MATCH(RAB!C120,'HARGA SATUAN'!$C$7:$C$1495,0),0)),0,OFFSET('HARGA SATUAN'!$I$6,MATCH(RAB!C120,'HARGA SATUAN'!$C$7:$C$1495,0),0))</f>
        <v>13644300</v>
      </c>
      <c r="H120" s="308">
        <f t="shared" ca="1" si="23"/>
        <v>13644300</v>
      </c>
      <c r="I120" s="308">
        <f t="shared" ca="1" si="24"/>
        <v>0</v>
      </c>
      <c r="J120" s="308">
        <f t="shared" ca="1" si="25"/>
        <v>0</v>
      </c>
      <c r="K120" s="309">
        <f t="shared" ca="1" si="26"/>
        <v>13644300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519">
        <v>3</v>
      </c>
      <c r="C121" s="520" t="s">
        <v>1141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Unit</v>
      </c>
      <c r="F121" s="517">
        <f>F118*1</f>
        <v>1</v>
      </c>
      <c r="G121" s="307">
        <f ca="1">IF(ISERROR(OFFSET('HARGA SATUAN'!$I$6,MATCH(RAB!C121,'HARGA SATUAN'!$C$7:$C$1495,0),0)),0,OFFSET('HARGA SATUAN'!$I$6,MATCH(RAB!C121,'HARGA SATUAN'!$C$7:$C$1495,0),0))</f>
        <v>1113900</v>
      </c>
      <c r="H121" s="308">
        <f t="shared" ca="1" si="23"/>
        <v>0</v>
      </c>
      <c r="I121" s="308">
        <f t="shared" ca="1" si="24"/>
        <v>1113900</v>
      </c>
      <c r="J121" s="308">
        <f t="shared" ca="1" si="25"/>
        <v>0</v>
      </c>
      <c r="K121" s="309">
        <f t="shared" ca="1" si="26"/>
        <v>1113900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519">
        <v>4</v>
      </c>
      <c r="C122" s="109" t="s">
        <v>1457</v>
      </c>
      <c r="D122" s="305" t="str">
        <f ca="1">IF(ISERROR(OFFSET('HARGA SATUAN'!$D$6,MATCH(RAB!C122,'HARGA SATUAN'!$C$7:$C$1495,0),0)),"",OFFSET('HARGA SATUAN'!$D$6,MATCH(RAB!C122,'HARGA SATUAN'!$C$7:$C$1495,0),0))</f>
        <v>MDU-KD</v>
      </c>
      <c r="E122" s="306" t="str">
        <f ca="1">IF(B122="+","Unit",IF(ISERROR(OFFSET('HARGA SATUAN'!$E$6,MATCH(RAB!C122,'HARGA SATUAN'!$C$7:$C$1495,0),0)),"",OFFSET('HARGA SATUAN'!$E$6,MATCH(RAB!C122,'HARGA SATUAN'!$C$7:$C$1495,0),0)))</f>
        <v>Mtr</v>
      </c>
      <c r="F122" s="517">
        <v>40</v>
      </c>
      <c r="G122" s="307">
        <f ca="1">IF(ISERROR(OFFSET('HARGA SATUAN'!$I$6,MATCH(RAB!C122,'HARGA SATUAN'!$C$7:$C$1495,0),0)),0,OFFSET('HARGA SATUAN'!$I$6,MATCH(RAB!C122,'HARGA SATUAN'!$C$7:$C$1495,0),0))</f>
        <v>54500</v>
      </c>
      <c r="H122" s="308">
        <f t="shared" ca="1" si="23"/>
        <v>2180000</v>
      </c>
      <c r="I122" s="308">
        <f t="shared" ca="1" si="24"/>
        <v>0</v>
      </c>
      <c r="J122" s="308">
        <f t="shared" ca="1" si="25"/>
        <v>0</v>
      </c>
      <c r="K122" s="309">
        <f t="shared" ca="1" si="26"/>
        <v>2180000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519">
        <v>5</v>
      </c>
      <c r="C123" s="520" t="s">
        <v>799</v>
      </c>
      <c r="D123" s="305" t="str">
        <f ca="1">IF(ISERROR(OFFSET('HARGA SATUAN'!$D$6,MATCH(RAB!C123,'HARGA SATUAN'!$C$7:$C$1495,0),0)),"",OFFSET('HARGA SATUAN'!$D$6,MATCH(RAB!C123,'HARGA SATUAN'!$C$7:$C$1495,0),0))</f>
        <v>JASA</v>
      </c>
      <c r="E123" s="306" t="str">
        <f ca="1">IF(B123="+","Unit",IF(ISERROR(OFFSET('HARGA SATUAN'!$E$6,MATCH(RAB!C123,'HARGA SATUAN'!$C$7:$C$1495,0),0)),"",OFFSET('HARGA SATUAN'!$E$6,MATCH(RAB!C123,'HARGA SATUAN'!$C$7:$C$1495,0),0)))</f>
        <v>Unit</v>
      </c>
      <c r="F123" s="517">
        <f>F118*1</f>
        <v>1</v>
      </c>
      <c r="G123" s="307">
        <f ca="1">IF(ISERROR(OFFSET('HARGA SATUAN'!$I$6,MATCH(RAB!C123,'HARGA SATUAN'!$C$7:$C$1495,0),0)),0,OFFSET('HARGA SATUAN'!$I$6,MATCH(RAB!C123,'HARGA SATUAN'!$C$7:$C$1495,0),0))</f>
        <v>106400</v>
      </c>
      <c r="H123" s="308">
        <f t="shared" ca="1" si="23"/>
        <v>0</v>
      </c>
      <c r="I123" s="308">
        <f t="shared" ca="1" si="24"/>
        <v>0</v>
      </c>
      <c r="J123" s="308">
        <f t="shared" ca="1" si="25"/>
        <v>106400</v>
      </c>
      <c r="K123" s="309">
        <f t="shared" ca="1" si="26"/>
        <v>106400</v>
      </c>
      <c r="L123" s="316"/>
      <c r="M123" s="289" t="str">
        <f>IF(AND(F123&gt;0,F117=0),"",IF(AND(ISBLANK(F123)=FALSE,K123=0),"WARNING",""))</f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519"/>
      <c r="C124" s="520"/>
      <c r="D124" s="305" t="str">
        <f ca="1">IF(ISERROR(OFFSET('HARGA SATUAN'!$D$6,MATCH(RAB!C124,'HARGA SATUAN'!$C$7:$C$1495,0),0)),"",OFFSET('HARGA SATUAN'!$D$6,MATCH(RAB!C124,'HARGA SATUAN'!$C$7:$C$1495,0),0))</f>
        <v/>
      </c>
      <c r="E124" s="306" t="str">
        <f ca="1">IF(B124="+","Unit",IF(ISERROR(OFFSET('HARGA SATUAN'!$E$6,MATCH(RAB!C124,'HARGA SATUAN'!$C$7:$C$1495,0),0)),"",OFFSET('HARGA SATUAN'!$E$6,MATCH(RAB!C124,'HARGA SATUAN'!$C$7:$C$1495,0),0)))</f>
        <v/>
      </c>
      <c r="F124" s="517"/>
      <c r="G124" s="307">
        <f ca="1">IF(ISERROR(OFFSET('HARGA SATUAN'!$I$6,MATCH(RAB!C124,'HARGA SATUAN'!$C$7:$C$1495,0),0)),0,OFFSET('HARGA SATUAN'!$I$6,MATCH(RAB!C124,'HARGA SATUAN'!$C$7:$C$1495,0),0))</f>
        <v>0</v>
      </c>
      <c r="H124" s="308">
        <f t="shared" ref="H124:H130" ca="1" si="27">IF(OR(D124="MDU",D124="MDU-KD"),(IF($O$3="RAB NON MDU","PLN KD",G124*F124)),0)</f>
        <v>0</v>
      </c>
      <c r="I124" s="308">
        <f t="shared" ref="I124:I130" ca="1" si="28">IF(D124="HDW",G124*F124,0)</f>
        <v>0</v>
      </c>
      <c r="J124" s="308">
        <f t="shared" ref="J124:J130" ca="1" si="29">IF(D124="JASA",G124*F124,0)</f>
        <v>0</v>
      </c>
      <c r="K124" s="309">
        <f t="shared" ref="K124:K130" ca="1" si="30">SUM(H124:J124)</f>
        <v>0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524" t="s">
        <v>1035</v>
      </c>
      <c r="C125" s="525" t="s">
        <v>1632</v>
      </c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>Unit</v>
      </c>
      <c r="F125" s="490">
        <v>1</v>
      </c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27"/>
        <v>0</v>
      </c>
      <c r="I125" s="308">
        <f t="shared" ca="1" si="28"/>
        <v>0</v>
      </c>
      <c r="J125" s="308">
        <f t="shared" ca="1" si="29"/>
        <v>0</v>
      </c>
      <c r="K125" s="309">
        <f t="shared" ca="1" si="30"/>
        <v>0</v>
      </c>
      <c r="L125" s="316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524">
        <v>1</v>
      </c>
      <c r="C126" s="525" t="s">
        <v>29</v>
      </c>
      <c r="D126" s="305" t="str">
        <f ca="1">IF(ISERROR(OFFSET('HARGA SATUAN'!$D$6,MATCH(RAB!C126,'HARGA SATUAN'!$C$7:$C$1495,0),0)),"",OFFSET('HARGA SATUAN'!$D$6,MATCH(RAB!C126,'HARGA SATUAN'!$C$7:$C$1495,0),0))</f>
        <v>HDW</v>
      </c>
      <c r="E126" s="306" t="str">
        <f ca="1">IF(B126="+","Unit",IF(ISERROR(OFFSET('HARGA SATUAN'!$E$6,MATCH(RAB!C126,'HARGA SATUAN'!$C$7:$C$1495,0),0)),"",OFFSET('HARGA SATUAN'!$E$6,MATCH(RAB!C126,'HARGA SATUAN'!$C$7:$C$1495,0),0)))</f>
        <v>Bh</v>
      </c>
      <c r="F126" s="490">
        <f>F125*1</f>
        <v>1</v>
      </c>
      <c r="G126" s="307">
        <f ca="1">IF(ISERROR(OFFSET('HARGA SATUAN'!$I$6,MATCH(RAB!C126,'HARGA SATUAN'!$C$7:$C$1495,0),0)),0,OFFSET('HARGA SATUAN'!$I$6,MATCH(RAB!C126,'HARGA SATUAN'!$C$7:$C$1495,0),0))</f>
        <v>185200</v>
      </c>
      <c r="H126" s="308">
        <f t="shared" ca="1" si="27"/>
        <v>0</v>
      </c>
      <c r="I126" s="308">
        <f t="shared" ca="1" si="28"/>
        <v>185200</v>
      </c>
      <c r="J126" s="308">
        <f t="shared" ca="1" si="29"/>
        <v>0</v>
      </c>
      <c r="K126" s="309">
        <f t="shared" ca="1" si="30"/>
        <v>185200</v>
      </c>
      <c r="L126" s="316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524">
        <v>2</v>
      </c>
      <c r="C127" s="525" t="s">
        <v>30</v>
      </c>
      <c r="D127" s="305" t="str">
        <f ca="1">IF(ISERROR(OFFSET('HARGA SATUAN'!$D$6,MATCH(RAB!C127,'HARGA SATUAN'!$C$7:$C$1495,0),0)),"",OFFSET('HARGA SATUAN'!$D$6,MATCH(RAB!C127,'HARGA SATUAN'!$C$7:$C$1495,0),0))</f>
        <v>HDW</v>
      </c>
      <c r="E127" s="306" t="str">
        <f ca="1">IF(B127="+","Unit",IF(ISERROR(OFFSET('HARGA SATUAN'!$E$6,MATCH(RAB!C127,'HARGA SATUAN'!$C$7:$C$1495,0),0)),"",OFFSET('HARGA SATUAN'!$E$6,MATCH(RAB!C127,'HARGA SATUAN'!$C$7:$C$1495,0),0)))</f>
        <v>Bh</v>
      </c>
      <c r="F127" s="490">
        <f>F125*1</f>
        <v>1</v>
      </c>
      <c r="G127" s="307">
        <f ca="1">IF(ISERROR(OFFSET('HARGA SATUAN'!$I$6,MATCH(RAB!C127,'HARGA SATUAN'!$C$7:$C$1495,0),0)),0,OFFSET('HARGA SATUAN'!$I$6,MATCH(RAB!C127,'HARGA SATUAN'!$C$7:$C$1495,0),0))</f>
        <v>47459</v>
      </c>
      <c r="H127" s="308">
        <f t="shared" ca="1" si="27"/>
        <v>0</v>
      </c>
      <c r="I127" s="308">
        <f t="shared" ca="1" si="28"/>
        <v>47459</v>
      </c>
      <c r="J127" s="308">
        <f t="shared" ca="1" si="29"/>
        <v>0</v>
      </c>
      <c r="K127" s="309">
        <f t="shared" ca="1" si="30"/>
        <v>47459</v>
      </c>
      <c r="L127" s="316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524">
        <v>3</v>
      </c>
      <c r="C128" s="525" t="s">
        <v>32</v>
      </c>
      <c r="D128" s="305" t="str">
        <f ca="1">IF(ISERROR(OFFSET('HARGA SATUAN'!$D$6,MATCH(RAB!C128,'HARGA SATUAN'!$C$7:$C$1495,0),0)),"",OFFSET('HARGA SATUAN'!$D$6,MATCH(RAB!C128,'HARGA SATUAN'!$C$7:$C$1495,0),0))</f>
        <v>HDW</v>
      </c>
      <c r="E128" s="306" t="str">
        <f ca="1">IF(B128="+","Unit",IF(ISERROR(OFFSET('HARGA SATUAN'!$E$6,MATCH(RAB!C128,'HARGA SATUAN'!$C$7:$C$1495,0),0)),"",OFFSET('HARGA SATUAN'!$E$6,MATCH(RAB!C128,'HARGA SATUAN'!$C$7:$C$1495,0),0)))</f>
        <v>Mtr</v>
      </c>
      <c r="F128" s="490">
        <f>F125*1.5</f>
        <v>1.5</v>
      </c>
      <c r="G128" s="307">
        <f ca="1">IF(ISERROR(OFFSET('HARGA SATUAN'!$I$6,MATCH(RAB!C128,'HARGA SATUAN'!$C$7:$C$1495,0),0)),0,OFFSET('HARGA SATUAN'!$I$6,MATCH(RAB!C128,'HARGA SATUAN'!$C$7:$C$1495,0),0))</f>
        <v>30000</v>
      </c>
      <c r="H128" s="308">
        <f t="shared" ca="1" si="27"/>
        <v>0</v>
      </c>
      <c r="I128" s="308">
        <f t="shared" ca="1" si="28"/>
        <v>45000</v>
      </c>
      <c r="J128" s="308">
        <f t="shared" ca="1" si="29"/>
        <v>0</v>
      </c>
      <c r="K128" s="309">
        <f t="shared" ca="1" si="30"/>
        <v>45000</v>
      </c>
      <c r="L128" s="316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524">
        <v>4</v>
      </c>
      <c r="C129" s="525" t="s">
        <v>33</v>
      </c>
      <c r="D129" s="305" t="str">
        <f ca="1">IF(ISERROR(OFFSET('HARGA SATUAN'!$D$6,MATCH(RAB!C129,'HARGA SATUAN'!$C$7:$C$1495,0),0)),"",OFFSET('HARGA SATUAN'!$D$6,MATCH(RAB!C129,'HARGA SATUAN'!$C$7:$C$1495,0),0))</f>
        <v>HDW</v>
      </c>
      <c r="E129" s="306" t="str">
        <f ca="1">IF(B129="+","Unit",IF(ISERROR(OFFSET('HARGA SATUAN'!$E$6,MATCH(RAB!C129,'HARGA SATUAN'!$C$7:$C$1495,0),0)),"",OFFSET('HARGA SATUAN'!$E$6,MATCH(RAB!C129,'HARGA SATUAN'!$C$7:$C$1495,0),0)))</f>
        <v>Bh</v>
      </c>
      <c r="F129" s="490">
        <f>F125*2</f>
        <v>2</v>
      </c>
      <c r="G129" s="307">
        <f ca="1">IF(ISERROR(OFFSET('HARGA SATUAN'!$I$6,MATCH(RAB!C129,'HARGA SATUAN'!$C$7:$C$1495,0),0)),0,OFFSET('HARGA SATUAN'!$I$6,MATCH(RAB!C129,'HARGA SATUAN'!$C$7:$C$1495,0),0))</f>
        <v>9500</v>
      </c>
      <c r="H129" s="308">
        <f t="shared" ca="1" si="27"/>
        <v>0</v>
      </c>
      <c r="I129" s="308">
        <f t="shared" ca="1" si="28"/>
        <v>19000</v>
      </c>
      <c r="J129" s="308">
        <f t="shared" ca="1" si="29"/>
        <v>0</v>
      </c>
      <c r="K129" s="309">
        <f t="shared" ca="1" si="30"/>
        <v>19000</v>
      </c>
      <c r="L129" s="316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524">
        <v>5</v>
      </c>
      <c r="C130" s="525" t="s">
        <v>735</v>
      </c>
      <c r="D130" s="305" t="str">
        <f ca="1">IF(ISERROR(OFFSET('HARGA SATUAN'!$D$6,MATCH(RAB!C130,'HARGA SATUAN'!$C$7:$C$1495,0),0)),"",OFFSET('HARGA SATUAN'!$D$6,MATCH(RAB!C130,'HARGA SATUAN'!$C$7:$C$1495,0),0))</f>
        <v>JASA</v>
      </c>
      <c r="E130" s="306" t="str">
        <f ca="1">IF(B130="+","Unit",IF(ISERROR(OFFSET('HARGA SATUAN'!$E$6,MATCH(RAB!C130,'HARGA SATUAN'!$C$7:$C$1495,0),0)),"",OFFSET('HARGA SATUAN'!$E$6,MATCH(RAB!C130,'HARGA SATUAN'!$C$7:$C$1495,0),0)))</f>
        <v>Unit</v>
      </c>
      <c r="F130" s="490">
        <f>F125*1</f>
        <v>1</v>
      </c>
      <c r="G130" s="307">
        <f ca="1">IF(ISERROR(OFFSET('HARGA SATUAN'!$I$6,MATCH(RAB!C130,'HARGA SATUAN'!$C$7:$C$1495,0),0)),0,OFFSET('HARGA SATUAN'!$I$6,MATCH(RAB!C130,'HARGA SATUAN'!$C$7:$C$1495,0),0))</f>
        <v>56400</v>
      </c>
      <c r="H130" s="308">
        <f t="shared" ca="1" si="27"/>
        <v>0</v>
      </c>
      <c r="I130" s="308">
        <f t="shared" ca="1" si="28"/>
        <v>0</v>
      </c>
      <c r="J130" s="308">
        <f t="shared" ca="1" si="29"/>
        <v>56400</v>
      </c>
      <c r="K130" s="309">
        <f t="shared" ca="1" si="30"/>
        <v>56400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498"/>
      <c r="C131" s="497"/>
      <c r="D131" s="305" t="str">
        <f ca="1">IF(ISERROR(OFFSET('HARGA SATUAN'!$D$6,MATCH(RAB!C131,'HARGA SATUAN'!$C$7:$C$1495,0),0)),"",OFFSET('HARGA SATUAN'!$D$6,MATCH(RAB!C131,'HARGA SATUAN'!$C$7:$C$1495,0),0))</f>
        <v/>
      </c>
      <c r="E131" s="306" t="str">
        <f ca="1">IF(B131="+","Unit",IF(ISERROR(OFFSET('HARGA SATUAN'!$E$6,MATCH(RAB!C131,'HARGA SATUAN'!$C$7:$C$1495,0),0)),"",OFFSET('HARGA SATUAN'!$E$6,MATCH(RAB!C131,'HARGA SATUAN'!$C$7:$C$1495,0),0)))</f>
        <v/>
      </c>
      <c r="F131" s="518"/>
      <c r="G131" s="307">
        <f ca="1">IF(ISERROR(OFFSET('HARGA SATUAN'!$I$6,MATCH(RAB!C131,'HARGA SATUAN'!$C$7:$C$1495,0),0)),0,OFFSET('HARGA SATUAN'!$I$6,MATCH(RAB!C131,'HARGA SATUAN'!$C$7:$C$1495,0),0))</f>
        <v>0</v>
      </c>
      <c r="H131" s="308">
        <f t="shared" ca="1" si="23"/>
        <v>0</v>
      </c>
      <c r="I131" s="308">
        <f t="shared" ca="1" si="24"/>
        <v>0</v>
      </c>
      <c r="J131" s="308">
        <f t="shared" ca="1" si="25"/>
        <v>0</v>
      </c>
      <c r="K131" s="309">
        <f t="shared" ca="1" si="26"/>
        <v>0</v>
      </c>
      <c r="L131" s="316"/>
      <c r="M131" s="289" t="e">
        <f>IF(AND(F131&gt;0,#REF!=0),"",IF(AND(ISBLANK(F131)=FALSE,K131=0),"WARNING",""))</f>
        <v>#REF!</v>
      </c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522" t="s">
        <v>22</v>
      </c>
      <c r="C132" s="523" t="s">
        <v>1629</v>
      </c>
      <c r="D132" s="305" t="str">
        <f ca="1">IF(ISERROR(OFFSET('HARGA SATUAN'!$D$6,MATCH(RAB!C132,'HARGA SATUAN'!$C$7:$C$1495,0),0)),"",OFFSET('HARGA SATUAN'!$D$6,MATCH(RAB!C132,'HARGA SATUAN'!$C$7:$C$1495,0),0))</f>
        <v/>
      </c>
      <c r="E132" s="306" t="str">
        <f ca="1">IF(B132="+","Unit",IF(ISERROR(OFFSET('HARGA SATUAN'!$E$6,MATCH(RAB!C132,'HARGA SATUAN'!$C$7:$C$1495,0),0)),"",OFFSET('HARGA SATUAN'!$E$6,MATCH(RAB!C132,'HARGA SATUAN'!$C$7:$C$1495,0),0)))</f>
        <v/>
      </c>
      <c r="F132" s="518"/>
      <c r="G132" s="307">
        <f ca="1">IF(ISERROR(OFFSET('HARGA SATUAN'!$I$6,MATCH(RAB!C132,'HARGA SATUAN'!$C$7:$C$1495,0),0)),0,OFFSET('HARGA SATUAN'!$I$6,MATCH(RAB!C132,'HARGA SATUAN'!$C$7:$C$1495,0),0))</f>
        <v>0</v>
      </c>
      <c r="H132" s="308">
        <f t="shared" ca="1" si="23"/>
        <v>0</v>
      </c>
      <c r="I132" s="308">
        <f t="shared" ca="1" si="24"/>
        <v>0</v>
      </c>
      <c r="J132" s="308">
        <f t="shared" ca="1" si="25"/>
        <v>0</v>
      </c>
      <c r="K132" s="309">
        <f t="shared" ca="1" si="26"/>
        <v>0</v>
      </c>
      <c r="L132" s="316"/>
      <c r="M132" s="289" t="str">
        <f t="shared" ca="1" si="22"/>
        <v/>
      </c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521">
        <v>1</v>
      </c>
      <c r="C133" s="109" t="s">
        <v>981</v>
      </c>
      <c r="D133" s="305" t="str">
        <f ca="1">IF(ISERROR(OFFSET('HARGA SATUAN'!$D$6,MATCH(RAB!C133,'HARGA SATUAN'!$C$7:$C$1495,0),0)),"",OFFSET('HARGA SATUAN'!$D$6,MATCH(RAB!C133,'HARGA SATUAN'!$C$7:$C$1495,0),0))</f>
        <v>JASA</v>
      </c>
      <c r="E133" s="306" t="str">
        <f ca="1">IF(B133="+","Unit",IF(ISERROR(OFFSET('HARGA SATUAN'!$E$6,MATCH(RAB!C133,'HARGA SATUAN'!$C$7:$C$1495,0),0)),"",OFFSET('HARGA SATUAN'!$E$6,MATCH(RAB!C133,'HARGA SATUAN'!$C$7:$C$1495,0),0)))</f>
        <v>Unit</v>
      </c>
      <c r="F133" s="518">
        <v>1</v>
      </c>
      <c r="G133" s="307">
        <f ca="1">IF(ISERROR(OFFSET('HARGA SATUAN'!$I$6,MATCH(RAB!C133,'HARGA SATUAN'!$C$7:$C$1495,0),0)),0,OFFSET('HARGA SATUAN'!$I$6,MATCH(RAB!C133,'HARGA SATUAN'!$C$7:$C$1495,0),0))</f>
        <v>32640</v>
      </c>
      <c r="H133" s="308">
        <f t="shared" ref="H133" ca="1" si="31">IF(OR(D133="MDU",D133="MDU-KD"),(IF($O$3="RAB NON MDU","PLN KD",G133*F133)),0)</f>
        <v>0</v>
      </c>
      <c r="I133" s="308">
        <f t="shared" ref="I133" ca="1" si="32">IF(D133="HDW",G133*F133,0)</f>
        <v>0</v>
      </c>
      <c r="J133" s="308">
        <f t="shared" ref="J133" ca="1" si="33">IF(D133="JASA",G133*F133,0)</f>
        <v>32640</v>
      </c>
      <c r="K133" s="309">
        <f t="shared" ref="K133" ca="1" si="34">SUM(H133:J133)</f>
        <v>32640</v>
      </c>
      <c r="L133" s="316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>
      <c r="B134" s="320"/>
      <c r="C134" s="109"/>
      <c r="D134" s="305" t="str">
        <f ca="1">IF(ISERROR(OFFSET('HARGA SATUAN'!$D$6,MATCH(RAB!C134,'HARGA SATUAN'!$C$7:$C$1495,0),0)),"",OFFSET('HARGA SATUAN'!$D$6,MATCH(RAB!C134,'HARGA SATUAN'!$C$7:$C$1495,0),0))</f>
        <v/>
      </c>
      <c r="E134" s="306" t="str">
        <f ca="1">IF(B134="+","Unit",IF(ISERROR(OFFSET('HARGA SATUAN'!$E$6,MATCH(RAB!C134,'HARGA SATUAN'!$C$7:$C$1495,0),0)),"",OFFSET('HARGA SATUAN'!$E$6,MATCH(RAB!C134,'HARGA SATUAN'!$C$7:$C$1495,0),0)))</f>
        <v/>
      </c>
      <c r="F134" s="315"/>
      <c r="G134" s="307">
        <f ca="1">IF(ISERROR(OFFSET('HARGA SATUAN'!$I$6,MATCH(RAB!C134,'HARGA SATUAN'!$C$7:$C$1495,0),0)),0,OFFSET('HARGA SATUAN'!$I$6,MATCH(RAB!C134,'HARGA SATUAN'!$C$7:$C$1495,0),0))</f>
        <v>0</v>
      </c>
      <c r="H134" s="308">
        <f t="shared" ca="1" si="23"/>
        <v>0</v>
      </c>
      <c r="I134" s="308">
        <f t="shared" ca="1" si="24"/>
        <v>0</v>
      </c>
      <c r="J134" s="308">
        <f t="shared" ca="1" si="25"/>
        <v>0</v>
      </c>
      <c r="K134" s="309">
        <f t="shared" ca="1" si="26"/>
        <v>0</v>
      </c>
      <c r="M134" s="289" t="str">
        <f ca="1">IF(AND(F134&gt;0,F132=0),"",IF(AND(ISBLANK(F134)=FALSE,K134=0),"WARNING",""))</f>
        <v/>
      </c>
    </row>
    <row r="135" spans="1:22">
      <c r="B135" s="321"/>
      <c r="C135" s="322" t="s">
        <v>475</v>
      </c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/>
      </c>
      <c r="F135" s="315"/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t="shared" ca="1" si="23"/>
        <v>0</v>
      </c>
      <c r="I135" s="308">
        <f t="shared" ca="1" si="24"/>
        <v>0</v>
      </c>
      <c r="J135" s="308">
        <f t="shared" ca="1" si="25"/>
        <v>0</v>
      </c>
      <c r="K135" s="309">
        <f t="shared" ca="1" si="26"/>
        <v>0</v>
      </c>
      <c r="M135" s="289" t="e">
        <f>IF(AND(F135&gt;0,#REF!=0),"",IF(AND(ISBLANK(F135)=FALSE,K135=0),"WARNING",""))</f>
        <v>#REF!</v>
      </c>
    </row>
    <row r="136" spans="1:22">
      <c r="B136" s="324">
        <v>1</v>
      </c>
      <c r="C136" s="325" t="s">
        <v>1091</v>
      </c>
      <c r="D136" s="326" t="str">
        <f ca="1">IF(ISERROR(OFFSET('HARGA SATUAN'!$D$6,MATCH(RAB!C136,'HARGA SATUAN'!$C$7:$C$1495,0),0)),"",OFFSET('HARGA SATUAN'!$D$6,MATCH(RAB!C136,'HARGA SATUAN'!$C$7:$C$1495,0),0))</f>
        <v>JASA</v>
      </c>
      <c r="E136" s="327" t="str">
        <f ca="1">IF(ISERROR(OFFSET('HARGA SATUAN'!$E$6,MATCH(RAB!C136,'HARGA SATUAN'!$C$7:$C$1495,0),0)),"",OFFSET('HARGA SATUAN'!$E$6,MATCH(RAB!C136,'HARGA SATUAN'!$C$7:$C$1495,0),0))</f>
        <v>Lot</v>
      </c>
      <c r="F136" s="328">
        <v>1</v>
      </c>
      <c r="G136" s="329">
        <f ca="1">IF(ISERROR(OFFSET('HARGA SATUAN'!$I$6,MATCH(RAB!C136,'HARGA SATUAN'!$C$7:$C$1495,0),0)),0,OFFSET('HARGA SATUAN'!$I$6,MATCH(RAB!C136,'HARGA SATUAN'!$C$7:$C$1495,0),0))</f>
        <v>2.5000000000000001E-2</v>
      </c>
      <c r="H136" s="330">
        <f ca="1">SUM(H14:H135)*G136</f>
        <v>4171655</v>
      </c>
      <c r="I136" s="330">
        <f ca="1">SUM(I14:I135)*G136</f>
        <v>852001.52500000002</v>
      </c>
      <c r="J136" s="330">
        <f ca="1">SUM(J14:J135)*G136</f>
        <v>236952.66666666672</v>
      </c>
      <c r="K136" s="330">
        <f ca="1">SUM(K14:K135)*G136</f>
        <v>5260609.1916666673</v>
      </c>
      <c r="M136" s="289" t="str">
        <f t="shared" ref="M136" si="35">IF(AND(F136&gt;0,F135=0),"",IF(AND(ISBLANK(F136)=FALSE,K136=0),"WARNING",""))</f>
        <v/>
      </c>
    </row>
    <row r="137" spans="1:22">
      <c r="B137" s="331"/>
      <c r="C137" s="332"/>
      <c r="D137" s="305" t="str">
        <f ca="1">IF(ISERROR(OFFSET('HARGA SATUAN'!$D$6,MATCH(RAB!C137,'HARGA SATUAN'!$C$7:$C$1495,0),0)),"",OFFSET('HARGA SATUAN'!$D$6,MATCH(RAB!C137,'HARGA SATUAN'!$C$7:$C$1495,0),0))</f>
        <v/>
      </c>
      <c r="E137" s="306" t="str">
        <f ca="1">IF(ISERROR(OFFSET('HARGA SATUAN'!$E$6,MATCH(RAB!C137,'HARGA SATUAN'!$C$7:$C$1495,0),0)),"",OFFSET('HARGA SATUAN'!$E$6,MATCH(RAB!C137,'HARGA SATUAN'!$C$7:$C$1495,0),0))</f>
        <v/>
      </c>
      <c r="F137" s="323"/>
      <c r="G137" s="307" t="str">
        <f ca="1">IF(ISERROR(OFFSET('HARGA SATUAN'!$I$6,MATCH(RAB!C137,'HARGA SATUAN'!$C$7:$C$1495,0),0)),"",OFFSET('HARGA SATUAN'!$I$6,MATCH(RAB!C137,'HARGA SATUAN'!$C$7:$C$1495,0),0))</f>
        <v/>
      </c>
      <c r="H137" s="308">
        <f ca="1">IF(OR(D137="MDU",D137="MDU-KD"),IF(G137="PLN",0,G137*F137),0)</f>
        <v>0</v>
      </c>
      <c r="I137" s="308">
        <f ca="1">IF(D137="HDW",IF(G137="PLN",0,G137*F137),0)</f>
        <v>0</v>
      </c>
      <c r="J137" s="308">
        <f ca="1">IF(D137="JASA",IF(G137="PLN",0,G137*F137),0)</f>
        <v>0</v>
      </c>
      <c r="K137" s="309">
        <f ca="1">SUM(H137:J137)</f>
        <v>0</v>
      </c>
    </row>
    <row r="138" spans="1:22" ht="15.75" thickBot="1">
      <c r="B138" s="333"/>
      <c r="C138" s="334"/>
      <c r="D138" s="335"/>
      <c r="E138" s="336"/>
      <c r="F138" s="336"/>
      <c r="G138" s="336"/>
      <c r="H138" s="337"/>
      <c r="I138" s="337"/>
      <c r="J138" s="337"/>
      <c r="K138" s="338"/>
    </row>
    <row r="139" spans="1:22">
      <c r="B139" s="339"/>
      <c r="C139" s="629" t="s">
        <v>1008</v>
      </c>
      <c r="D139" s="629"/>
      <c r="E139" s="629"/>
      <c r="F139" s="629"/>
      <c r="G139" s="340" t="s">
        <v>9</v>
      </c>
      <c r="H139" s="341">
        <f ca="1">SUM(H14:H137)</f>
        <v>171037855</v>
      </c>
      <c r="I139" s="341">
        <f ca="1">SUM(I14:I137)</f>
        <v>34932062.524999999</v>
      </c>
      <c r="J139" s="341">
        <f ca="1">SUM(J14:J137)</f>
        <v>9715059.333333334</v>
      </c>
      <c r="K139" s="341">
        <f ca="1">SUM(K14:K137)</f>
        <v>215684976.85833335</v>
      </c>
    </row>
    <row r="140" spans="1:22">
      <c r="B140" s="342"/>
      <c r="C140" s="646" t="s">
        <v>1455</v>
      </c>
      <c r="D140" s="646"/>
      <c r="E140" s="646"/>
      <c r="F140" s="646"/>
      <c r="G140" s="343" t="s">
        <v>9</v>
      </c>
      <c r="H140" s="344">
        <f ca="1">H139*0.11</f>
        <v>18814164.050000001</v>
      </c>
      <c r="I140" s="344">
        <f ca="1">I139*0.11</f>
        <v>3842526.87775</v>
      </c>
      <c r="J140" s="344">
        <f ca="1">J139*0.11</f>
        <v>1068656.5266666668</v>
      </c>
      <c r="K140" s="344">
        <f ca="1">K139*0.11</f>
        <v>23725347.45441667</v>
      </c>
    </row>
    <row r="141" spans="1:22" ht="15.75" thickBot="1">
      <c r="B141" s="342"/>
      <c r="C141" s="643" t="s">
        <v>463</v>
      </c>
      <c r="D141" s="643"/>
      <c r="E141" s="643"/>
      <c r="F141" s="643"/>
      <c r="G141" s="345" t="s">
        <v>9</v>
      </c>
      <c r="H141" s="346">
        <f ca="1">SUM(H139:H140)</f>
        <v>189852019.05000001</v>
      </c>
      <c r="I141" s="346">
        <f ca="1">SUM(I139:I140)</f>
        <v>38774589.40275</v>
      </c>
      <c r="J141" s="345">
        <f ca="1">SUM(J139:J140)</f>
        <v>10783715.860000001</v>
      </c>
      <c r="K141" s="345">
        <f ca="1">SUM(K139:K140)</f>
        <v>239410324.31275001</v>
      </c>
      <c r="M141" s="410"/>
    </row>
    <row r="142" spans="1:22">
      <c r="B142" s="647" t="str">
        <f ca="1">"Terbilang : "&amp;PROPER(IF(K141=0,"nol",IF(K141&lt;0,"minus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IF(--MID(TEXT(ABS(K141),"000000000000000"),1,3)=0,"",MID(TEXT(ABS(K141),"000000000000000"),1,1)&amp;" ratus "&amp;MID(TEXT(ABS(K141),"000000000000000"),2,1)&amp;" puluh "&amp;MID(TEXT(ABS(K141),"000000000000000"),3,1)&amp;" trilyun ")&amp; IF(--MID(TEXT(ABS(K141),"000000000000000"),4,3)=0,"",MID(TEXT(ABS(K141),"000000000000000"),4,1)&amp;" ratus "&amp;MID(TEXT(ABS(K141),"000000000000000"),5,1)&amp;" puluh "&amp;MID(TEXT(ABS(K141),"000000000000000"),6,1)&amp;" milyar ")&amp; IF(--MID(TEXT(ABS(K141),"000000000000000"),7,3)=0,"",MID(TEXT(ABS(K141),"000000000000000"),7,1)&amp;" ratus "&amp;MID(TEXT(ABS(K141),"000000000000000"),8,1)&amp;" puluh "&amp;MID(TEXT(ABS(K141),"000000000000000"),9,1)&amp;" juta ")&amp; IF(--MID(TEXT(ABS(K141),"000000000000000"),10,3)=0,"",IF(--MID(TEXT(ABS(K141),"000000000000000"),10,3)=1,"*",MID(TEXT(ABS(K141),"000000000000000"),10,1)&amp;" ratus "&amp;MID(TEXT(ABS(K141),"000000000000000"),11,1)&amp;" puluh ")&amp;MID(TEXT(ABS(K141),"000000000000000"),12,1)&amp;" ribu ")&amp; IF(--MID(TEXT(ABS(K141),"000000000000000"),13,3)=0,"",MID(TEXT(ABS(K141),"000000000000000"),13,1)&amp;" ratus "&amp;MID(TEXT(ABS(K141),"000000000000000"),14,1)&amp;" puluh "&amp;MID(TEXT(ABS(K141),"000000000000000"),15,1)),1,"satu"),2,"dua"),3,"tiga"),4,"empat"),5,"lima"),6,"enam"),7,"tujuh"),8,"delapan"),9,"sembilan"),"0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Tiga Puluh Sembilan Juta Empat Ratus Sepuluh Ribu Tiga Ratus Dua Puluh Empat Rupiah</v>
      </c>
      <c r="C142" s="648"/>
      <c r="D142" s="648"/>
      <c r="E142" s="648"/>
      <c r="F142" s="648"/>
      <c r="G142" s="648"/>
      <c r="H142" s="648"/>
      <c r="I142" s="648"/>
      <c r="J142" s="648"/>
      <c r="K142" s="649"/>
    </row>
    <row r="143" spans="1:22">
      <c r="B143" s="650"/>
      <c r="C143" s="651"/>
      <c r="D143" s="651"/>
      <c r="E143" s="651"/>
      <c r="F143" s="651"/>
      <c r="G143" s="651"/>
      <c r="H143" s="651"/>
      <c r="I143" s="651"/>
      <c r="J143" s="651"/>
      <c r="K143" s="652"/>
    </row>
    <row r="144" spans="1:22" ht="15.75" thickBot="1">
      <c r="B144" s="347" t="str">
        <f>"Harga yang dipakai adalah "&amp;'HARGA SATUAN'!I5&amp;""</f>
        <v>Harga yang dipakai adalah RAB HSS 2023</v>
      </c>
      <c r="C144" s="348"/>
      <c r="D144" s="349"/>
      <c r="E144" s="349"/>
      <c r="F144" s="349"/>
      <c r="G144" s="350"/>
      <c r="H144" s="350"/>
      <c r="I144" s="350"/>
      <c r="J144" s="350"/>
      <c r="K144" s="351"/>
    </row>
    <row r="145" spans="3:11">
      <c r="C145" s="352"/>
      <c r="E145" s="354"/>
      <c r="F145" s="354"/>
      <c r="G145" s="354"/>
    </row>
    <row r="146" spans="3:11">
      <c r="C146" s="284"/>
      <c r="E146" s="354"/>
      <c r="F146" s="354"/>
      <c r="G146" s="354"/>
      <c r="H146" s="653"/>
      <c r="I146" s="653"/>
      <c r="J146" s="654"/>
      <c r="K146" s="654"/>
    </row>
    <row r="147" spans="3:11">
      <c r="C147" s="284"/>
      <c r="E147" s="354"/>
      <c r="F147" s="354"/>
      <c r="G147" s="354"/>
      <c r="H147" s="355"/>
      <c r="I147" s="642" t="s">
        <v>1630</v>
      </c>
      <c r="J147" s="642"/>
      <c r="K147" s="642"/>
    </row>
    <row r="148" spans="3:11">
      <c r="C148" s="284"/>
      <c r="E148" s="354"/>
      <c r="F148" s="354"/>
      <c r="G148" s="354"/>
      <c r="H148" s="355"/>
      <c r="I148" s="642" t="s">
        <v>1611</v>
      </c>
      <c r="J148" s="642"/>
      <c r="K148" s="642"/>
    </row>
    <row r="149" spans="3:11">
      <c r="C149" s="284"/>
      <c r="E149" s="354"/>
      <c r="F149" s="354"/>
      <c r="G149" s="354"/>
      <c r="H149" s="356"/>
      <c r="I149" s="357"/>
      <c r="J149" s="357"/>
      <c r="K149" s="357"/>
    </row>
    <row r="150" spans="3:11">
      <c r="C150" s="284"/>
      <c r="E150" s="354"/>
      <c r="F150" s="354"/>
      <c r="G150" s="354"/>
      <c r="H150" s="356"/>
      <c r="I150" s="356"/>
      <c r="J150" s="356"/>
      <c r="K150" s="356"/>
    </row>
    <row r="151" spans="3:11">
      <c r="C151" s="284"/>
      <c r="E151" s="354"/>
      <c r="F151" s="354"/>
      <c r="G151" s="354"/>
      <c r="H151" s="356"/>
      <c r="I151" s="356"/>
      <c r="J151" s="356"/>
      <c r="K151" s="356"/>
    </row>
    <row r="152" spans="3:11">
      <c r="C152" s="284"/>
      <c r="E152" s="354"/>
      <c r="F152" s="354"/>
      <c r="G152" s="354"/>
      <c r="H152" s="356"/>
      <c r="I152" s="356"/>
      <c r="J152" s="356"/>
      <c r="K152" s="356"/>
    </row>
    <row r="153" spans="3:11">
      <c r="C153" s="284"/>
      <c r="E153" s="354"/>
      <c r="F153" s="354"/>
      <c r="G153" s="354"/>
      <c r="H153" s="358"/>
      <c r="I153" s="642" t="s">
        <v>1612</v>
      </c>
      <c r="J153" s="642"/>
      <c r="K153" s="642"/>
    </row>
    <row r="154" spans="3:11">
      <c r="C154" s="352"/>
      <c r="E154" s="354"/>
      <c r="F154" s="354"/>
      <c r="G154" s="354"/>
      <c r="H154" s="356"/>
      <c r="I154" s="356"/>
      <c r="J154" s="356"/>
      <c r="K154" s="356"/>
    </row>
    <row r="155" spans="3:11">
      <c r="C155" s="352"/>
      <c r="E155" s="354"/>
      <c r="F155" s="354"/>
      <c r="G155" s="354"/>
      <c r="H155" s="356"/>
      <c r="I155" s="356"/>
      <c r="J155" s="356"/>
      <c r="K155" s="356"/>
    </row>
    <row r="156" spans="3:11">
      <c r="C156" s="352"/>
      <c r="E156" s="354"/>
      <c r="F156" s="354"/>
      <c r="G156" s="354"/>
      <c r="H156" s="356"/>
      <c r="I156" s="356"/>
      <c r="J156" s="356"/>
      <c r="K156" s="356"/>
    </row>
  </sheetData>
  <sheetProtection sort="0" autoFilter="0"/>
  <protectedRanges>
    <protectedRange sqref="B134" name="Range1_1"/>
    <protectedRange sqref="F14:F15 F134:F135" name="Range1_1_2_2"/>
    <protectedRange sqref="B15 B16:C16 B122:B130 B19:C19 B92:C114 B120:C121 B119 B131:C132 B20:B30 B133 B17:B18 B117:C118 B115:B116" name="Range1_6_1"/>
    <protectedRange sqref="B31:B91" name="Range1_6_1_2"/>
    <protectedRange sqref="C119" name="Range1_1_3_2"/>
    <protectedRange sqref="C123:C130" name="Range1_1_3_3"/>
    <protectedRange sqref="C20:C23 C25:C91" name="Range1_6_1_1"/>
    <protectedRange sqref="C24" name="Range1_1_2_6"/>
    <protectedRange sqref="C134" name="Range1_1_3_1"/>
    <protectedRange sqref="C122" name="Range1_1_3_4"/>
    <protectedRange sqref="C17" name="Range1_1_3_5"/>
    <protectedRange sqref="C18" name="Range1_1_3_6"/>
    <protectedRange sqref="C115" name="Range1_1_3_7"/>
    <protectedRange sqref="C116" name="Range1_1_3_8"/>
    <protectedRange sqref="C133" name="Range1_1_3_9"/>
  </protectedRanges>
  <mergeCells count="22">
    <mergeCell ref="I148:K148"/>
    <mergeCell ref="I153:K153"/>
    <mergeCell ref="C141:F141"/>
    <mergeCell ref="G6:K6"/>
    <mergeCell ref="I147:K147"/>
    <mergeCell ref="C140:F140"/>
    <mergeCell ref="B142:K143"/>
    <mergeCell ref="H146:K146"/>
    <mergeCell ref="H11:K11"/>
    <mergeCell ref="H12:H13"/>
    <mergeCell ref="J12:J13"/>
    <mergeCell ref="K12:K13"/>
    <mergeCell ref="O3:P4"/>
    <mergeCell ref="B4:K4"/>
    <mergeCell ref="C139:F139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11" priority="80" operator="equal">
      <formula>0</formula>
    </cfRule>
  </conditionalFormatting>
  <conditionalFormatting sqref="C17:C18">
    <cfRule type="cellIs" dxfId="10" priority="15" operator="equal">
      <formula>0</formula>
    </cfRule>
  </conditionalFormatting>
  <conditionalFormatting sqref="C21">
    <cfRule type="cellIs" dxfId="9" priority="14" operator="equal">
      <formula>0</formula>
    </cfRule>
  </conditionalFormatting>
  <conditionalFormatting sqref="C25">
    <cfRule type="cellIs" dxfId="8" priority="13" operator="equal">
      <formula>0</formula>
    </cfRule>
  </conditionalFormatting>
  <conditionalFormatting sqref="C115:C116">
    <cfRule type="cellIs" dxfId="7" priority="3" operator="equal">
      <formula>0</formula>
    </cfRule>
  </conditionalFormatting>
  <conditionalFormatting sqref="C119">
    <cfRule type="cellIs" dxfId="6" priority="20" operator="equal">
      <formula>0</formula>
    </cfRule>
  </conditionalFormatting>
  <conditionalFormatting sqref="C122">
    <cfRule type="cellIs" dxfId="5" priority="17" operator="equal">
      <formula>0</formula>
    </cfRule>
  </conditionalFormatting>
  <conditionalFormatting sqref="C133:C134">
    <cfRule type="cellIs" dxfId="4" priority="1" operator="equal">
      <formula>0</formula>
    </cfRule>
  </conditionalFormatting>
  <conditionalFormatting sqref="E1:E3 E5:E13 H12:I12 O13 S14:V133 E136:G136 H136:K138 E137:H137 E138:F138">
    <cfRule type="cellIs" dxfId="3" priority="1124" stopIfTrue="1" operator="equal">
      <formula>0</formula>
    </cfRule>
  </conditionalFormatting>
  <conditionalFormatting sqref="E14:K135">
    <cfRule type="cellIs" dxfId="2" priority="2" stopIfTrue="1" operator="equal">
      <formula>0</formula>
    </cfRule>
  </conditionalFormatting>
  <conditionalFormatting sqref="G1:G13">
    <cfRule type="cellIs" dxfId="1" priority="49" stopIfTrue="1" operator="equal">
      <formula>0</formula>
    </cfRule>
  </conditionalFormatting>
  <conditionalFormatting sqref="G137:G65603 E142:E65603">
    <cfRule type="cellIs" dxfId="0" priority="25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89 C22:C24 F125:F133 F16:F85 F91:F113 H14:K13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3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1E5D-C068-44B4-9F79-1E6AB9B4B2A1}">
  <sheetPr>
    <tabColor rgb="FF92D050"/>
  </sheetPr>
  <dimension ref="C1:AD55"/>
  <sheetViews>
    <sheetView showGridLines="0" topLeftCell="A13" zoomScale="115" zoomScaleNormal="115" zoomScaleSheetLayoutView="100" workbookViewId="0">
      <selection activeCell="T20" sqref="T20"/>
    </sheetView>
  </sheetViews>
  <sheetFormatPr defaultColWidth="9.140625" defaultRowHeight="12"/>
  <cols>
    <col min="1" max="2" width="1.42578125" style="424" customWidth="1"/>
    <col min="3" max="3" width="7.42578125" style="424" customWidth="1"/>
    <col min="4" max="23" width="5.7109375" style="424" customWidth="1"/>
    <col min="24" max="24" width="6.28515625" style="424" customWidth="1"/>
    <col min="25" max="26" width="5.7109375" style="424" customWidth="1"/>
    <col min="27" max="27" width="6.5703125" style="424" customWidth="1"/>
    <col min="28" max="118" width="5.7109375" style="424" customWidth="1"/>
    <col min="119" max="16384" width="9.140625" style="424"/>
  </cols>
  <sheetData>
    <row r="1" spans="3:30" ht="12.75" thickBot="1"/>
    <row r="2" spans="3:30" ht="12.75" customHeight="1">
      <c r="C2" s="499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712" t="s">
        <v>1438</v>
      </c>
      <c r="X2" s="713"/>
      <c r="Y2" s="713"/>
      <c r="Z2" s="713"/>
      <c r="AA2" s="713"/>
      <c r="AB2" s="713"/>
      <c r="AC2" s="713"/>
      <c r="AD2" s="714"/>
    </row>
    <row r="3" spans="3:30">
      <c r="C3" s="426"/>
      <c r="W3" s="715"/>
      <c r="X3" s="716"/>
      <c r="Y3" s="716"/>
      <c r="Z3" s="716"/>
      <c r="AA3" s="716"/>
      <c r="AB3" s="716"/>
      <c r="AC3" s="716"/>
      <c r="AD3" s="717"/>
    </row>
    <row r="4" spans="3:30">
      <c r="C4" s="426"/>
      <c r="G4" s="427" t="s">
        <v>1642</v>
      </c>
      <c r="W4" s="428" t="s">
        <v>987</v>
      </c>
      <c r="AD4" s="429"/>
    </row>
    <row r="5" spans="3:30">
      <c r="C5" s="426"/>
      <c r="W5" s="430" t="s">
        <v>991</v>
      </c>
      <c r="X5" s="659" t="s">
        <v>990</v>
      </c>
      <c r="Y5" s="659"/>
      <c r="Z5" s="659"/>
      <c r="AA5" s="659" t="s">
        <v>988</v>
      </c>
      <c r="AB5" s="659"/>
      <c r="AC5" s="659" t="s">
        <v>989</v>
      </c>
      <c r="AD5" s="660"/>
    </row>
    <row r="6" spans="3:30">
      <c r="C6" s="426"/>
      <c r="W6" s="430">
        <v>1</v>
      </c>
      <c r="X6" s="659" t="s">
        <v>993</v>
      </c>
      <c r="Y6" s="659"/>
      <c r="Z6" s="659"/>
      <c r="AA6" s="659"/>
      <c r="AB6" s="659"/>
      <c r="AC6" s="659"/>
      <c r="AD6" s="660"/>
    </row>
    <row r="7" spans="3:30">
      <c r="C7" s="426"/>
      <c r="W7" s="430">
        <v>2</v>
      </c>
      <c r="X7" s="659" t="s">
        <v>994</v>
      </c>
      <c r="Y7" s="659"/>
      <c r="Z7" s="659"/>
      <c r="AA7" s="659"/>
      <c r="AB7" s="659"/>
      <c r="AC7" s="659"/>
      <c r="AD7" s="660"/>
    </row>
    <row r="8" spans="3:30">
      <c r="C8" s="426"/>
      <c r="W8" s="430">
        <v>3</v>
      </c>
      <c r="X8" s="659" t="s">
        <v>995</v>
      </c>
      <c r="Y8" s="659"/>
      <c r="Z8" s="659"/>
      <c r="AA8" s="659"/>
      <c r="AB8" s="659"/>
      <c r="AC8" s="659"/>
      <c r="AD8" s="660"/>
    </row>
    <row r="9" spans="3:30">
      <c r="C9" s="426"/>
      <c r="W9" s="430">
        <v>4</v>
      </c>
      <c r="X9" s="659" t="s">
        <v>996</v>
      </c>
      <c r="Y9" s="659"/>
      <c r="Z9" s="659"/>
      <c r="AA9" s="659"/>
      <c r="AB9" s="659"/>
      <c r="AC9" s="659"/>
      <c r="AD9" s="660"/>
    </row>
    <row r="10" spans="3:30">
      <c r="C10" s="426"/>
      <c r="W10" s="430">
        <v>5</v>
      </c>
      <c r="X10" s="659" t="s">
        <v>997</v>
      </c>
      <c r="Y10" s="659"/>
      <c r="Z10" s="659"/>
      <c r="AA10" s="659"/>
      <c r="AB10" s="659"/>
      <c r="AC10" s="659"/>
      <c r="AD10" s="660"/>
    </row>
    <row r="11" spans="3:30">
      <c r="C11" s="426"/>
      <c r="W11" s="430">
        <v>6</v>
      </c>
      <c r="X11" s="659" t="s">
        <v>998</v>
      </c>
      <c r="Y11" s="659"/>
      <c r="Z11" s="659"/>
      <c r="AA11" s="659"/>
      <c r="AB11" s="659"/>
      <c r="AC11" s="659"/>
      <c r="AD11" s="660"/>
    </row>
    <row r="12" spans="3:30">
      <c r="C12" s="426"/>
      <c r="W12" s="430">
        <v>7</v>
      </c>
      <c r="X12" s="659" t="s">
        <v>999</v>
      </c>
      <c r="Y12" s="659"/>
      <c r="Z12" s="659"/>
      <c r="AA12" s="659"/>
      <c r="AB12" s="659"/>
      <c r="AC12" s="659"/>
      <c r="AD12" s="660"/>
    </row>
    <row r="13" spans="3:30" ht="12.75" customHeight="1">
      <c r="C13" s="426"/>
      <c r="W13" s="430">
        <v>8</v>
      </c>
      <c r="X13" s="659" t="s">
        <v>1000</v>
      </c>
      <c r="Y13" s="659"/>
      <c r="Z13" s="659"/>
      <c r="AA13" s="659"/>
      <c r="AB13" s="659"/>
      <c r="AC13" s="659"/>
      <c r="AD13" s="660"/>
    </row>
    <row r="14" spans="3:30">
      <c r="C14" s="426"/>
      <c r="W14" s="430">
        <v>9</v>
      </c>
      <c r="X14" s="659" t="s">
        <v>1001</v>
      </c>
      <c r="Y14" s="659"/>
      <c r="Z14" s="659"/>
      <c r="AA14" s="659"/>
      <c r="AB14" s="659"/>
      <c r="AC14" s="659"/>
      <c r="AD14" s="660"/>
    </row>
    <row r="15" spans="3:30">
      <c r="C15" s="426"/>
      <c r="W15" s="430">
        <v>10</v>
      </c>
      <c r="X15" s="659" t="s">
        <v>1010</v>
      </c>
      <c r="Y15" s="659"/>
      <c r="Z15" s="659"/>
      <c r="AA15" s="659"/>
      <c r="AB15" s="659"/>
      <c r="AC15" s="659"/>
      <c r="AD15" s="660"/>
    </row>
    <row r="16" spans="3:30">
      <c r="C16" s="426"/>
      <c r="W16" s="430">
        <v>11</v>
      </c>
      <c r="X16" s="659" t="s">
        <v>1454</v>
      </c>
      <c r="Y16" s="659"/>
      <c r="Z16" s="659"/>
      <c r="AA16" s="659"/>
      <c r="AB16" s="659"/>
      <c r="AC16" s="659"/>
      <c r="AD16" s="660"/>
    </row>
    <row r="17" spans="3:30">
      <c r="C17" s="426"/>
      <c r="S17" s="432"/>
      <c r="W17" s="430">
        <v>12</v>
      </c>
      <c r="X17" s="659" t="s">
        <v>1011</v>
      </c>
      <c r="Y17" s="659"/>
      <c r="Z17" s="659"/>
      <c r="AA17" s="659"/>
      <c r="AB17" s="659"/>
      <c r="AC17" s="659"/>
      <c r="AD17" s="660"/>
    </row>
    <row r="18" spans="3:30">
      <c r="C18" s="433"/>
      <c r="D18" s="434"/>
      <c r="E18" s="434"/>
      <c r="W18" s="430">
        <v>13</v>
      </c>
      <c r="X18" s="659"/>
      <c r="Y18" s="659"/>
      <c r="Z18" s="659"/>
      <c r="AA18" s="659"/>
      <c r="AB18" s="659"/>
      <c r="AC18" s="659"/>
      <c r="AD18" s="660"/>
    </row>
    <row r="19" spans="3:30">
      <c r="C19" s="426"/>
      <c r="W19" s="435"/>
      <c r="X19" s="701"/>
      <c r="Y19" s="701"/>
      <c r="Z19" s="701"/>
      <c r="AA19" s="701"/>
      <c r="AB19" s="701"/>
      <c r="AC19" s="701"/>
      <c r="AD19" s="702"/>
    </row>
    <row r="20" spans="3:30">
      <c r="C20" s="426"/>
      <c r="Q20" s="436"/>
      <c r="W20" s="703" t="s">
        <v>992</v>
      </c>
      <c r="X20" s="704"/>
      <c r="Y20" s="704"/>
      <c r="Z20" s="704"/>
      <c r="AA20" s="704"/>
      <c r="AB20" s="704"/>
      <c r="AC20" s="704"/>
      <c r="AD20" s="705"/>
    </row>
    <row r="21" spans="3:30">
      <c r="C21" s="426"/>
      <c r="W21" s="706" t="s">
        <v>985</v>
      </c>
      <c r="X21" s="707"/>
      <c r="Y21" s="707"/>
      <c r="Z21" s="708"/>
      <c r="AA21" s="709" t="s">
        <v>986</v>
      </c>
      <c r="AB21" s="710"/>
      <c r="AC21" s="710"/>
      <c r="AD21" s="711"/>
    </row>
    <row r="22" spans="3:30">
      <c r="C22" s="426"/>
      <c r="S22" s="437"/>
      <c r="W22" s="695" t="s">
        <v>1632</v>
      </c>
      <c r="X22" s="696"/>
      <c r="Y22" s="438" t="s">
        <v>1618</v>
      </c>
      <c r="Z22" s="439">
        <v>1</v>
      </c>
      <c r="AA22" s="697" t="s">
        <v>1631</v>
      </c>
      <c r="AB22" s="698"/>
      <c r="AC22" s="440" t="s">
        <v>1617</v>
      </c>
      <c r="AD22" s="441">
        <v>1</v>
      </c>
    </row>
    <row r="23" spans="3:30">
      <c r="C23" s="426"/>
      <c r="W23" s="695" t="s">
        <v>1626</v>
      </c>
      <c r="X23" s="696"/>
      <c r="Y23" s="438" t="s">
        <v>1618</v>
      </c>
      <c r="Z23" s="439">
        <v>2</v>
      </c>
      <c r="AA23" s="687"/>
      <c r="AB23" s="688"/>
      <c r="AC23" s="440"/>
      <c r="AD23" s="441"/>
    </row>
    <row r="24" spans="3:30">
      <c r="C24" s="426"/>
      <c r="W24" s="695" t="s">
        <v>1627</v>
      </c>
      <c r="X24" s="696"/>
      <c r="Y24" s="438" t="s">
        <v>1618</v>
      </c>
      <c r="Z24" s="439">
        <v>1</v>
      </c>
      <c r="AA24" s="699"/>
      <c r="AB24" s="700"/>
      <c r="AC24" s="440"/>
      <c r="AD24" s="441"/>
    </row>
    <row r="25" spans="3:30">
      <c r="C25" s="426"/>
      <c r="W25" s="695" t="s">
        <v>1633</v>
      </c>
      <c r="X25" s="696"/>
      <c r="Y25" s="438" t="s">
        <v>1618</v>
      </c>
      <c r="Z25" s="439">
        <v>14</v>
      </c>
      <c r="AA25" s="687"/>
      <c r="AB25" s="688"/>
      <c r="AC25" s="440"/>
      <c r="AD25" s="441"/>
    </row>
    <row r="26" spans="3:30">
      <c r="C26" s="426"/>
      <c r="W26" s="693" t="s">
        <v>1634</v>
      </c>
      <c r="X26" s="694"/>
      <c r="Y26" s="438" t="s">
        <v>1618</v>
      </c>
      <c r="Z26" s="439">
        <v>2</v>
      </c>
      <c r="AA26" s="687"/>
      <c r="AB26" s="688"/>
      <c r="AC26" s="440"/>
      <c r="AD26" s="441"/>
    </row>
    <row r="27" spans="3:30">
      <c r="C27" s="426"/>
      <c r="W27" s="693" t="s">
        <v>1635</v>
      </c>
      <c r="X27" s="694"/>
      <c r="Y27" s="438" t="s">
        <v>1618</v>
      </c>
      <c r="Z27" s="439">
        <v>4</v>
      </c>
      <c r="AA27" s="687"/>
      <c r="AB27" s="688"/>
      <c r="AC27" s="440"/>
      <c r="AD27" s="441"/>
    </row>
    <row r="28" spans="3:30">
      <c r="C28" s="426"/>
      <c r="W28" s="685" t="s">
        <v>1636</v>
      </c>
      <c r="X28" s="686"/>
      <c r="Y28" s="438" t="s">
        <v>1618</v>
      </c>
      <c r="Z28" s="439">
        <v>2</v>
      </c>
      <c r="AA28" s="687"/>
      <c r="AB28" s="688"/>
      <c r="AC28" s="440"/>
      <c r="AD28" s="441"/>
    </row>
    <row r="29" spans="3:30">
      <c r="C29" s="426"/>
      <c r="W29" s="693" t="s">
        <v>1637</v>
      </c>
      <c r="X29" s="694"/>
      <c r="Y29" s="438" t="s">
        <v>1618</v>
      </c>
      <c r="Z29" s="439">
        <v>2</v>
      </c>
      <c r="AA29" s="687"/>
      <c r="AB29" s="688"/>
      <c r="AC29" s="440"/>
      <c r="AD29" s="441"/>
    </row>
    <row r="30" spans="3:30" ht="11.25" customHeight="1">
      <c r="C30" s="426"/>
      <c r="W30" s="685" t="s">
        <v>1638</v>
      </c>
      <c r="X30" s="686"/>
      <c r="Y30" s="438" t="s">
        <v>1618</v>
      </c>
      <c r="Z30" s="439">
        <v>2</v>
      </c>
      <c r="AA30" s="687"/>
      <c r="AB30" s="688"/>
      <c r="AC30" s="440"/>
      <c r="AD30" s="441"/>
    </row>
    <row r="31" spans="3:30">
      <c r="C31" s="426"/>
      <c r="U31" s="444"/>
      <c r="W31" s="442" t="s">
        <v>1639</v>
      </c>
      <c r="X31" s="443"/>
      <c r="Y31" s="438" t="s">
        <v>1640</v>
      </c>
      <c r="Z31" s="439">
        <v>520</v>
      </c>
      <c r="AA31" s="687"/>
      <c r="AB31" s="688"/>
      <c r="AC31" s="440"/>
      <c r="AD31" s="441"/>
    </row>
    <row r="32" spans="3:30">
      <c r="C32" s="426"/>
      <c r="U32" s="444"/>
      <c r="W32" s="500" t="s">
        <v>1645</v>
      </c>
      <c r="X32" s="501"/>
      <c r="Y32" s="438" t="s">
        <v>1618</v>
      </c>
      <c r="Z32" s="439">
        <v>4</v>
      </c>
      <c r="AA32" s="687"/>
      <c r="AB32" s="688"/>
      <c r="AC32" s="440"/>
      <c r="AD32" s="441"/>
    </row>
    <row r="33" spans="3:30">
      <c r="C33" s="426"/>
      <c r="W33" s="685"/>
      <c r="X33" s="686"/>
      <c r="Y33" s="438"/>
      <c r="Z33" s="439"/>
      <c r="AA33" s="687"/>
      <c r="AB33" s="688"/>
      <c r="AC33" s="440"/>
      <c r="AD33" s="441"/>
    </row>
    <row r="34" spans="3:30">
      <c r="C34" s="426"/>
      <c r="Q34" s="424" t="s">
        <v>1607</v>
      </c>
      <c r="W34" s="685"/>
      <c r="X34" s="686"/>
      <c r="Y34" s="438"/>
      <c r="Z34" s="439"/>
      <c r="AA34" s="687"/>
      <c r="AB34" s="688"/>
      <c r="AC34" s="440"/>
      <c r="AD34" s="441"/>
    </row>
    <row r="35" spans="3:30">
      <c r="C35" s="426"/>
      <c r="W35" s="685"/>
      <c r="X35" s="686"/>
      <c r="Y35" s="438"/>
      <c r="Z35" s="439"/>
      <c r="AA35" s="687"/>
      <c r="AB35" s="688"/>
      <c r="AC35" s="440"/>
      <c r="AD35" s="441"/>
    </row>
    <row r="36" spans="3:30">
      <c r="C36" s="426"/>
      <c r="W36" s="685"/>
      <c r="X36" s="686"/>
      <c r="Y36" s="438"/>
      <c r="Z36" s="439"/>
      <c r="AA36" s="687"/>
      <c r="AB36" s="688"/>
      <c r="AC36" s="440"/>
      <c r="AD36" s="441"/>
    </row>
    <row r="37" spans="3:30" ht="12.75" customHeight="1">
      <c r="C37" s="426"/>
      <c r="W37" s="442"/>
      <c r="X37" s="445"/>
      <c r="Y37" s="438"/>
      <c r="Z37" s="439"/>
      <c r="AA37" s="689"/>
      <c r="AB37" s="690"/>
      <c r="AC37" s="440"/>
      <c r="AD37" s="446"/>
    </row>
    <row r="38" spans="3:30" ht="12.75" customHeight="1">
      <c r="C38" s="426"/>
      <c r="W38" s="502"/>
      <c r="X38" s="503"/>
      <c r="Y38" s="438"/>
      <c r="Z38" s="504"/>
      <c r="AA38" s="691"/>
      <c r="AB38" s="692"/>
      <c r="AC38" s="440"/>
      <c r="AD38" s="446"/>
    </row>
    <row r="39" spans="3:30" ht="12" customHeight="1">
      <c r="C39" s="426"/>
      <c r="W39" s="502"/>
      <c r="X39" s="503"/>
      <c r="Y39" s="438"/>
      <c r="Z39" s="504"/>
      <c r="AA39" s="673"/>
      <c r="AB39" s="674"/>
      <c r="AC39" s="440"/>
      <c r="AD39" s="446"/>
    </row>
    <row r="40" spans="3:30" ht="12" customHeight="1">
      <c r="C40" s="426"/>
      <c r="W40" s="505"/>
      <c r="X40" s="506"/>
      <c r="Y40" s="507"/>
      <c r="Z40" s="504"/>
      <c r="AA40" s="508"/>
      <c r="AB40" s="509"/>
      <c r="AC40" s="447"/>
      <c r="AD40" s="448"/>
    </row>
    <row r="41" spans="3:30" ht="12" customHeight="1">
      <c r="C41" s="426"/>
      <c r="W41" s="675"/>
      <c r="X41" s="676"/>
      <c r="Y41" s="510"/>
      <c r="Z41" s="511"/>
      <c r="AA41" s="677"/>
      <c r="AB41" s="678"/>
      <c r="AC41" s="447"/>
      <c r="AD41" s="448"/>
    </row>
    <row r="42" spans="3:30" ht="12" customHeight="1">
      <c r="C42" s="426"/>
      <c r="W42" s="679" t="s">
        <v>1619</v>
      </c>
      <c r="X42" s="680"/>
      <c r="Y42" s="680"/>
      <c r="Z42" s="680"/>
      <c r="AA42" s="680"/>
      <c r="AB42" s="680"/>
      <c r="AC42" s="680"/>
      <c r="AD42" s="681"/>
    </row>
    <row r="43" spans="3:30" ht="12" customHeight="1">
      <c r="C43" s="426"/>
      <c r="V43" s="449"/>
      <c r="W43" s="682"/>
      <c r="X43" s="683"/>
      <c r="Y43" s="683"/>
      <c r="Z43" s="683"/>
      <c r="AA43" s="683"/>
      <c r="AB43" s="683"/>
      <c r="AC43" s="683"/>
      <c r="AD43" s="684"/>
    </row>
    <row r="44" spans="3:30">
      <c r="C44" s="450"/>
      <c r="D44" s="451"/>
      <c r="E44" s="451"/>
      <c r="F44" s="451"/>
      <c r="G44" s="451"/>
      <c r="H44" s="451"/>
      <c r="I44" s="451"/>
      <c r="N44" s="451"/>
      <c r="O44" s="451"/>
      <c r="P44" s="451"/>
      <c r="Q44" s="451"/>
      <c r="R44" s="451"/>
      <c r="S44" s="451"/>
      <c r="T44" s="451"/>
      <c r="U44" s="451"/>
      <c r="V44" s="449"/>
      <c r="W44" s="671" t="s">
        <v>11</v>
      </c>
      <c r="X44" s="658"/>
      <c r="Y44" s="659"/>
      <c r="Z44" s="659"/>
      <c r="AA44" s="659"/>
      <c r="AB44" s="659"/>
      <c r="AC44" s="659"/>
      <c r="AD44" s="660"/>
    </row>
    <row r="45" spans="3:30">
      <c r="C45" s="450"/>
      <c r="D45" s="451"/>
      <c r="E45" s="451"/>
      <c r="F45" s="451"/>
      <c r="G45" s="451"/>
      <c r="H45" s="451"/>
      <c r="I45" s="451"/>
      <c r="N45" s="451"/>
      <c r="O45" s="451"/>
      <c r="P45" s="451"/>
      <c r="Q45" s="451"/>
      <c r="R45" s="451"/>
      <c r="S45" s="451"/>
      <c r="T45" s="451"/>
      <c r="U45" s="451"/>
      <c r="V45" s="449"/>
      <c r="W45" s="671" t="s">
        <v>984</v>
      </c>
      <c r="X45" s="658"/>
      <c r="Y45" s="659">
        <v>1</v>
      </c>
      <c r="Z45" s="659"/>
      <c r="AA45" s="659"/>
      <c r="AB45" s="659" t="s">
        <v>12</v>
      </c>
      <c r="AC45" s="659"/>
      <c r="AD45" s="431" t="s">
        <v>13</v>
      </c>
    </row>
    <row r="46" spans="3:30">
      <c r="C46" s="450"/>
      <c r="D46" s="451"/>
      <c r="E46" s="451"/>
      <c r="F46" s="451"/>
      <c r="G46" s="451"/>
      <c r="H46" s="451"/>
      <c r="I46" s="451"/>
      <c r="J46" s="451"/>
      <c r="K46" s="451"/>
      <c r="L46" s="451"/>
      <c r="M46" s="451"/>
      <c r="N46" s="451"/>
      <c r="O46" s="451"/>
      <c r="P46" s="451"/>
      <c r="Q46" s="451"/>
      <c r="R46" s="451"/>
      <c r="S46" s="451"/>
      <c r="T46" s="451"/>
      <c r="U46" s="451"/>
      <c r="V46" s="449"/>
      <c r="W46" s="671" t="s">
        <v>15</v>
      </c>
      <c r="X46" s="658"/>
      <c r="Y46" s="672"/>
      <c r="Z46" s="672"/>
      <c r="AA46" s="672"/>
      <c r="AB46" s="659" t="s">
        <v>16</v>
      </c>
      <c r="AC46" s="659"/>
      <c r="AD46" s="452"/>
    </row>
    <row r="47" spans="3:30">
      <c r="C47" s="450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451"/>
      <c r="T47" s="451"/>
      <c r="U47" s="451"/>
      <c r="V47" s="449"/>
      <c r="W47" s="665" t="s">
        <v>17</v>
      </c>
      <c r="X47" s="665"/>
      <c r="Y47" s="665"/>
      <c r="Z47" s="665"/>
      <c r="AA47" s="665"/>
      <c r="AB47" s="665"/>
      <c r="AC47" s="665"/>
      <c r="AD47" s="666"/>
    </row>
    <row r="48" spans="3:30" ht="12.75" customHeight="1">
      <c r="C48" s="450"/>
      <c r="D48" s="451"/>
      <c r="E48" s="451"/>
      <c r="F48" s="451"/>
      <c r="G48" s="451"/>
      <c r="H48" s="451"/>
      <c r="I48" s="451"/>
      <c r="J48" s="451"/>
      <c r="K48" s="451"/>
      <c r="L48" s="451"/>
      <c r="M48" s="451"/>
      <c r="R48" s="451"/>
      <c r="S48" s="451"/>
      <c r="T48" s="451"/>
      <c r="U48" s="451"/>
      <c r="V48" s="449"/>
      <c r="W48" s="667" t="s">
        <v>1641</v>
      </c>
      <c r="X48" s="667"/>
      <c r="Y48" s="667"/>
      <c r="Z48" s="667"/>
      <c r="AA48" s="667"/>
      <c r="AB48" s="667"/>
      <c r="AC48" s="667"/>
      <c r="AD48" s="668"/>
    </row>
    <row r="49" spans="3:30">
      <c r="C49" s="450"/>
      <c r="D49" s="453"/>
      <c r="E49" s="451"/>
      <c r="F49" s="451"/>
      <c r="G49" s="451"/>
      <c r="I49" s="451"/>
      <c r="J49" s="451"/>
      <c r="K49" s="451"/>
      <c r="L49" s="451"/>
      <c r="M49" s="451"/>
      <c r="R49" s="451"/>
      <c r="S49" s="451"/>
      <c r="T49" s="451"/>
      <c r="U49" s="451"/>
      <c r="V49" s="454"/>
      <c r="W49" s="667"/>
      <c r="X49" s="667"/>
      <c r="Y49" s="667"/>
      <c r="Z49" s="667"/>
      <c r="AA49" s="667"/>
      <c r="AB49" s="667"/>
      <c r="AC49" s="667"/>
      <c r="AD49" s="668"/>
    </row>
    <row r="50" spans="3:30">
      <c r="C50" s="450"/>
      <c r="D50" s="455"/>
      <c r="E50" s="455"/>
      <c r="F50" s="455"/>
      <c r="G50" s="455"/>
      <c r="I50" s="451"/>
      <c r="J50" s="451"/>
      <c r="K50" s="451"/>
      <c r="L50" s="451"/>
      <c r="M50" s="451"/>
      <c r="N50" s="451"/>
      <c r="O50" s="451"/>
      <c r="P50" s="451"/>
      <c r="Q50" s="451"/>
      <c r="R50" s="451"/>
      <c r="S50" s="451"/>
      <c r="T50" s="451"/>
      <c r="U50" s="451"/>
      <c r="V50" s="454"/>
      <c r="W50" s="667"/>
      <c r="X50" s="667"/>
      <c r="Y50" s="667"/>
      <c r="Z50" s="667"/>
      <c r="AA50" s="667"/>
      <c r="AB50" s="667"/>
      <c r="AC50" s="667"/>
      <c r="AD50" s="668"/>
    </row>
    <row r="51" spans="3:30" ht="19.5" customHeight="1">
      <c r="C51" s="450"/>
      <c r="D51" s="455"/>
      <c r="E51" s="455"/>
      <c r="F51" s="455"/>
      <c r="G51" s="455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54"/>
      <c r="W51" s="669"/>
      <c r="X51" s="669"/>
      <c r="Y51" s="669"/>
      <c r="Z51" s="669"/>
      <c r="AA51" s="669"/>
      <c r="AB51" s="669"/>
      <c r="AC51" s="669"/>
      <c r="AD51" s="670"/>
    </row>
    <row r="52" spans="3:30">
      <c r="C52" s="450"/>
      <c r="D52" s="456"/>
      <c r="E52" s="456"/>
      <c r="F52" s="456"/>
      <c r="G52" s="456"/>
      <c r="I52" s="451"/>
      <c r="J52" s="451"/>
      <c r="K52" s="451"/>
      <c r="L52" s="422"/>
      <c r="M52" s="451"/>
      <c r="N52" s="451"/>
      <c r="O52" s="451"/>
      <c r="P52" s="451"/>
      <c r="Q52" s="451"/>
      <c r="R52" s="451"/>
      <c r="S52" s="451"/>
      <c r="T52" s="451"/>
      <c r="U52" s="451"/>
      <c r="V52" s="449"/>
      <c r="W52" s="657" t="s">
        <v>18</v>
      </c>
      <c r="X52" s="658"/>
      <c r="Y52" s="659" t="s">
        <v>1620</v>
      </c>
      <c r="Z52" s="659"/>
      <c r="AA52" s="659"/>
      <c r="AB52" s="659"/>
      <c r="AC52" s="659"/>
      <c r="AD52" s="660"/>
    </row>
    <row r="53" spans="3:30">
      <c r="C53" s="450"/>
      <c r="D53" s="455"/>
      <c r="E53" s="455"/>
      <c r="F53" s="455"/>
      <c r="G53" s="455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V53" s="449"/>
      <c r="W53" s="657" t="s">
        <v>19</v>
      </c>
      <c r="X53" s="658"/>
      <c r="Y53" s="659" t="s">
        <v>1621</v>
      </c>
      <c r="Z53" s="659"/>
      <c r="AA53" s="659"/>
      <c r="AB53" s="659"/>
      <c r="AC53" s="659"/>
      <c r="AD53" s="660"/>
    </row>
    <row r="54" spans="3:30">
      <c r="C54" s="450"/>
      <c r="D54" s="423"/>
      <c r="E54" s="423"/>
      <c r="F54" s="423"/>
      <c r="G54" s="423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V54" s="449"/>
      <c r="W54" s="657" t="s">
        <v>20</v>
      </c>
      <c r="X54" s="658"/>
      <c r="Y54" s="659" t="s">
        <v>1621</v>
      </c>
      <c r="Z54" s="659"/>
      <c r="AA54" s="659"/>
      <c r="AB54" s="659"/>
      <c r="AC54" s="659"/>
      <c r="AD54" s="660"/>
    </row>
    <row r="55" spans="3:30" ht="12.75" thickBot="1">
      <c r="C55" s="457"/>
      <c r="D55" s="458"/>
      <c r="E55" s="458"/>
      <c r="F55" s="458"/>
      <c r="G55" s="458"/>
      <c r="H55" s="458"/>
      <c r="I55" s="458"/>
      <c r="J55" s="458"/>
      <c r="K55" s="458"/>
      <c r="L55" s="458"/>
      <c r="M55" s="458"/>
      <c r="N55" s="458"/>
      <c r="O55" s="458"/>
      <c r="P55" s="458"/>
      <c r="Q55" s="458"/>
      <c r="R55" s="458"/>
      <c r="S55" s="458"/>
      <c r="T55" s="458"/>
      <c r="U55" s="459"/>
      <c r="V55" s="460"/>
      <c r="W55" s="661" t="s">
        <v>21</v>
      </c>
      <c r="X55" s="662"/>
      <c r="Y55" s="663" t="s">
        <v>1622</v>
      </c>
      <c r="Z55" s="663"/>
      <c r="AA55" s="663"/>
      <c r="AB55" s="663"/>
      <c r="AC55" s="663"/>
      <c r="AD55" s="664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zoomScale="50" zoomScaleNormal="40" zoomScaleSheetLayoutView="50" workbookViewId="0">
      <selection activeCell="AD21" sqref="AD21"/>
    </sheetView>
  </sheetViews>
  <sheetFormatPr defaultColWidth="9.140625" defaultRowHeight="12.75"/>
  <cols>
    <col min="1" max="1" width="1.7109375" style="461" customWidth="1"/>
    <col min="2" max="2" width="10.7109375" style="461" customWidth="1"/>
    <col min="3" max="3" width="2.5703125" style="461" customWidth="1"/>
    <col min="4" max="20" width="9.140625" style="461"/>
    <col min="21" max="21" width="14.5703125" style="461" customWidth="1"/>
    <col min="22" max="22" width="3.140625" style="461" customWidth="1"/>
    <col min="23" max="26" width="9.140625" style="461"/>
    <col min="27" max="27" width="2.85546875" style="461" customWidth="1"/>
    <col min="28" max="30" width="4.7109375" style="461" customWidth="1"/>
    <col min="31" max="31" width="1.7109375" style="461" customWidth="1"/>
    <col min="32" max="16384" width="9.140625" style="461"/>
  </cols>
  <sheetData>
    <row r="1" spans="2:31" ht="13.5" thickBot="1"/>
    <row r="2" spans="2:31" ht="13.5" thickBot="1">
      <c r="B2" s="462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4"/>
      <c r="AE2" s="465"/>
    </row>
    <row r="3" spans="2:31" ht="12.75" customHeight="1" thickTop="1">
      <c r="B3" s="466"/>
      <c r="C3" s="718" t="s">
        <v>1623</v>
      </c>
      <c r="D3" s="719"/>
      <c r="E3" s="719"/>
      <c r="F3" s="719"/>
      <c r="G3" s="719"/>
      <c r="H3" s="719"/>
      <c r="I3" s="719"/>
      <c r="J3" s="719"/>
      <c r="K3" s="719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719"/>
      <c r="X3" s="719"/>
      <c r="Y3" s="719"/>
      <c r="Z3" s="719"/>
      <c r="AA3" s="719"/>
      <c r="AB3" s="720"/>
      <c r="AC3" s="467"/>
      <c r="AD3" s="465"/>
      <c r="AE3" s="465"/>
    </row>
    <row r="4" spans="2:31" ht="13.5" customHeight="1" thickBot="1">
      <c r="B4" s="466"/>
      <c r="C4" s="721"/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3"/>
      <c r="AC4" s="467"/>
      <c r="AD4" s="465"/>
      <c r="AE4" s="465"/>
    </row>
    <row r="5" spans="2:31" ht="12.75" customHeight="1" thickTop="1">
      <c r="B5" s="466"/>
      <c r="C5" s="468"/>
      <c r="AD5" s="465"/>
      <c r="AE5" s="465"/>
    </row>
    <row r="6" spans="2:31" ht="12.75" customHeight="1">
      <c r="B6" s="466"/>
      <c r="Y6" s="469"/>
      <c r="Z6" s="469"/>
      <c r="AA6" s="469"/>
      <c r="AB6" s="470"/>
      <c r="AC6" s="470"/>
      <c r="AD6" s="465"/>
      <c r="AE6" s="465"/>
    </row>
    <row r="7" spans="2:31" ht="12.75" customHeight="1">
      <c r="B7" s="466"/>
      <c r="Y7" s="469"/>
      <c r="Z7" s="469"/>
      <c r="AA7" s="469"/>
      <c r="AB7" s="470"/>
      <c r="AC7" s="470"/>
      <c r="AD7" s="465"/>
      <c r="AE7" s="465"/>
    </row>
    <row r="8" spans="2:31" ht="12.75" customHeight="1">
      <c r="B8" s="466"/>
      <c r="AD8" s="465"/>
      <c r="AE8" s="465"/>
    </row>
    <row r="9" spans="2:31" ht="12.75" customHeight="1">
      <c r="B9" s="466"/>
      <c r="AD9" s="465"/>
      <c r="AE9" s="465"/>
    </row>
    <row r="10" spans="2:31">
      <c r="B10" s="466"/>
      <c r="AD10" s="465"/>
      <c r="AE10" s="465"/>
    </row>
    <row r="11" spans="2:31">
      <c r="B11" s="466"/>
      <c r="AD11" s="465"/>
      <c r="AE11" s="465"/>
    </row>
    <row r="12" spans="2:31">
      <c r="B12" s="466"/>
      <c r="AD12" s="465"/>
      <c r="AE12" s="465"/>
    </row>
    <row r="13" spans="2:31">
      <c r="B13" s="466"/>
      <c r="AD13" s="465"/>
      <c r="AE13" s="465"/>
    </row>
    <row r="14" spans="2:31">
      <c r="B14" s="466"/>
      <c r="D14" s="471"/>
      <c r="AD14" s="465"/>
      <c r="AE14" s="465"/>
    </row>
    <row r="15" spans="2:31">
      <c r="B15" s="466"/>
      <c r="AD15" s="465"/>
      <c r="AE15" s="465"/>
    </row>
    <row r="16" spans="2:31">
      <c r="B16" s="466"/>
      <c r="AD16" s="465"/>
      <c r="AE16" s="465"/>
    </row>
    <row r="17" spans="2:31">
      <c r="B17" s="466"/>
      <c r="AD17" s="465"/>
      <c r="AE17" s="465"/>
    </row>
    <row r="18" spans="2:31">
      <c r="B18" s="466"/>
      <c r="AD18" s="465"/>
      <c r="AE18" s="465"/>
    </row>
    <row r="19" spans="2:31">
      <c r="B19" s="466"/>
      <c r="AD19" s="465"/>
      <c r="AE19" s="465"/>
    </row>
    <row r="20" spans="2:31">
      <c r="B20" s="466"/>
      <c r="AD20" s="465"/>
      <c r="AE20" s="465"/>
    </row>
    <row r="21" spans="2:31">
      <c r="B21" s="466"/>
      <c r="AD21" s="465"/>
      <c r="AE21" s="465"/>
    </row>
    <row r="22" spans="2:31">
      <c r="B22" s="466"/>
      <c r="AD22" s="465"/>
      <c r="AE22" s="465"/>
    </row>
    <row r="23" spans="2:31">
      <c r="B23" s="466"/>
      <c r="AD23" s="465"/>
      <c r="AE23" s="465"/>
    </row>
    <row r="24" spans="2:31">
      <c r="B24" s="466"/>
      <c r="AD24" s="465"/>
      <c r="AE24" s="465"/>
    </row>
    <row r="25" spans="2:31">
      <c r="B25" s="466"/>
      <c r="AD25" s="465"/>
      <c r="AE25" s="465"/>
    </row>
    <row r="26" spans="2:31">
      <c r="B26" s="466"/>
      <c r="AD26" s="465"/>
      <c r="AE26" s="465"/>
    </row>
    <row r="27" spans="2:31">
      <c r="B27" s="466"/>
      <c r="AD27" s="465"/>
      <c r="AE27" s="465"/>
    </row>
    <row r="28" spans="2:31">
      <c r="B28" s="466"/>
      <c r="AD28" s="465"/>
      <c r="AE28" s="465"/>
    </row>
    <row r="29" spans="2:31">
      <c r="B29" s="466"/>
      <c r="AD29" s="465"/>
      <c r="AE29" s="465"/>
    </row>
    <row r="30" spans="2:31">
      <c r="B30" s="466"/>
      <c r="AD30" s="465"/>
      <c r="AE30" s="465"/>
    </row>
    <row r="31" spans="2:31">
      <c r="B31" s="466"/>
      <c r="AD31" s="465"/>
      <c r="AE31" s="465"/>
    </row>
    <row r="32" spans="2:31">
      <c r="B32" s="466"/>
      <c r="AD32" s="465"/>
      <c r="AE32" s="465"/>
    </row>
    <row r="33" spans="2:31">
      <c r="B33" s="466"/>
      <c r="AD33" s="465"/>
      <c r="AE33" s="465"/>
    </row>
    <row r="34" spans="2:31">
      <c r="B34" s="466"/>
      <c r="AD34" s="465"/>
      <c r="AE34" s="465"/>
    </row>
    <row r="35" spans="2:31">
      <c r="B35" s="466"/>
      <c r="AD35" s="465"/>
      <c r="AE35" s="465"/>
    </row>
    <row r="36" spans="2:31">
      <c r="B36" s="466"/>
      <c r="AD36" s="465"/>
      <c r="AE36" s="465"/>
    </row>
    <row r="37" spans="2:31">
      <c r="B37" s="466"/>
      <c r="AD37" s="465"/>
      <c r="AE37" s="465"/>
    </row>
    <row r="38" spans="2:31">
      <c r="B38" s="466"/>
      <c r="AD38" s="465"/>
      <c r="AE38" s="465"/>
    </row>
    <row r="39" spans="2:31">
      <c r="B39" s="466"/>
      <c r="AD39" s="465"/>
      <c r="AE39" s="465"/>
    </row>
    <row r="40" spans="2:31">
      <c r="B40" s="466"/>
      <c r="AD40" s="465"/>
      <c r="AE40" s="465"/>
    </row>
    <row r="41" spans="2:31">
      <c r="B41" s="466"/>
      <c r="AD41" s="465"/>
      <c r="AE41" s="465"/>
    </row>
    <row r="42" spans="2:31">
      <c r="B42" s="466"/>
      <c r="AD42" s="465"/>
      <c r="AE42" s="465"/>
    </row>
    <row r="43" spans="2:31">
      <c r="B43" s="466"/>
      <c r="AD43" s="465"/>
      <c r="AE43" s="465"/>
    </row>
    <row r="44" spans="2:31">
      <c r="B44" s="466"/>
      <c r="AD44" s="465"/>
      <c r="AE44" s="465"/>
    </row>
    <row r="45" spans="2:31">
      <c r="B45" s="466"/>
      <c r="AD45" s="465"/>
      <c r="AE45" s="465"/>
    </row>
    <row r="46" spans="2:31">
      <c r="B46" s="466"/>
      <c r="AD46" s="465"/>
      <c r="AE46" s="465"/>
    </row>
    <row r="47" spans="2:31">
      <c r="B47" s="466"/>
      <c r="AD47" s="465"/>
      <c r="AE47" s="465"/>
    </row>
    <row r="48" spans="2:31">
      <c r="B48" s="466"/>
      <c r="AD48" s="465"/>
      <c r="AE48" s="465"/>
    </row>
    <row r="49" spans="2:31">
      <c r="B49" s="466"/>
      <c r="AD49" s="465"/>
      <c r="AE49" s="465"/>
    </row>
    <row r="50" spans="2:31">
      <c r="B50" s="466"/>
      <c r="AD50" s="465"/>
      <c r="AE50" s="465"/>
    </row>
    <row r="51" spans="2:31">
      <c r="B51" s="466"/>
      <c r="AD51" s="465"/>
      <c r="AE51" s="465"/>
    </row>
    <row r="52" spans="2:31">
      <c r="B52" s="466"/>
      <c r="AD52" s="465"/>
      <c r="AE52" s="465"/>
    </row>
    <row r="53" spans="2:31">
      <c r="B53" s="466"/>
      <c r="AD53" s="465"/>
      <c r="AE53" s="465"/>
    </row>
    <row r="54" spans="2:31">
      <c r="B54" s="466"/>
      <c r="AD54" s="465"/>
      <c r="AE54" s="465"/>
    </row>
    <row r="55" spans="2:31">
      <c r="B55" s="466"/>
      <c r="AD55" s="465"/>
      <c r="AE55" s="465"/>
    </row>
    <row r="56" spans="2:31">
      <c r="B56" s="466"/>
      <c r="R56" s="472"/>
      <c r="S56" s="472"/>
      <c r="T56" s="472"/>
      <c r="U56" s="473"/>
      <c r="V56" s="473"/>
      <c r="W56" s="473"/>
      <c r="X56" s="473"/>
      <c r="Y56" s="473"/>
      <c r="Z56" s="473"/>
      <c r="AA56" s="473"/>
      <c r="AB56" s="473"/>
      <c r="AC56" s="473"/>
      <c r="AD56" s="474"/>
      <c r="AE56" s="465"/>
    </row>
    <row r="57" spans="2:31">
      <c r="B57" s="466"/>
      <c r="R57" s="475"/>
      <c r="S57" s="472"/>
      <c r="T57" s="472"/>
      <c r="U57" s="473"/>
      <c r="V57" s="476"/>
      <c r="W57" s="473"/>
      <c r="X57" s="473"/>
      <c r="Y57" s="473"/>
      <c r="Z57" s="473"/>
      <c r="AA57" s="476"/>
      <c r="AB57" s="476"/>
      <c r="AC57" s="476"/>
      <c r="AD57" s="477"/>
      <c r="AE57" s="465"/>
    </row>
    <row r="58" spans="2:31">
      <c r="B58" s="466"/>
      <c r="U58" s="473"/>
      <c r="V58" s="476"/>
      <c r="W58" s="473"/>
      <c r="X58" s="473"/>
      <c r="Y58" s="473"/>
      <c r="Z58" s="473"/>
      <c r="AA58" s="476"/>
      <c r="AB58" s="473"/>
      <c r="AC58" s="473"/>
      <c r="AD58" s="474"/>
      <c r="AE58" s="465"/>
    </row>
    <row r="59" spans="2:31">
      <c r="B59" s="466"/>
      <c r="U59" s="473"/>
      <c r="V59" s="476"/>
      <c r="W59" s="473"/>
      <c r="X59" s="473"/>
      <c r="Y59" s="473"/>
      <c r="Z59" s="473"/>
      <c r="AA59" s="473"/>
      <c r="AB59" s="473"/>
      <c r="AC59" s="473"/>
      <c r="AD59" s="474"/>
      <c r="AE59" s="465"/>
    </row>
    <row r="60" spans="2:31">
      <c r="B60" s="466"/>
      <c r="U60" s="473"/>
      <c r="V60" s="476"/>
      <c r="W60" s="473"/>
      <c r="X60" s="473"/>
      <c r="Y60" s="473"/>
      <c r="Z60" s="473"/>
      <c r="AA60" s="473"/>
      <c r="AB60" s="473"/>
      <c r="AC60" s="473"/>
      <c r="AD60" s="474"/>
      <c r="AE60" s="465"/>
    </row>
    <row r="61" spans="2:31">
      <c r="B61" s="466"/>
      <c r="U61" s="473"/>
      <c r="V61" s="476"/>
      <c r="W61" s="473"/>
      <c r="X61" s="473"/>
      <c r="Y61" s="473"/>
      <c r="Z61" s="473"/>
      <c r="AA61" s="473"/>
      <c r="AB61" s="473"/>
      <c r="AC61" s="473"/>
      <c r="AD61" s="474"/>
      <c r="AE61" s="465"/>
    </row>
    <row r="62" spans="2:31">
      <c r="B62" s="466"/>
      <c r="U62" s="473"/>
      <c r="V62" s="476"/>
      <c r="W62" s="473"/>
      <c r="X62" s="473"/>
      <c r="Y62" s="473"/>
      <c r="Z62" s="473"/>
      <c r="AA62" s="476"/>
      <c r="AB62" s="473"/>
      <c r="AC62" s="473"/>
      <c r="AD62" s="474"/>
      <c r="AE62" s="465"/>
    </row>
    <row r="63" spans="2:31">
      <c r="B63" s="466"/>
      <c r="U63" s="473"/>
      <c r="V63" s="476"/>
      <c r="W63" s="473"/>
      <c r="X63" s="473"/>
      <c r="Y63" s="473"/>
      <c r="Z63" s="473"/>
      <c r="AA63" s="473"/>
      <c r="AB63" s="473"/>
      <c r="AC63" s="473"/>
      <c r="AD63" s="474"/>
      <c r="AE63" s="465"/>
    </row>
    <row r="64" spans="2:31">
      <c r="B64" s="466"/>
      <c r="U64" s="473"/>
      <c r="V64" s="476"/>
      <c r="W64" s="473"/>
      <c r="X64" s="473"/>
      <c r="Y64" s="473"/>
      <c r="Z64" s="473"/>
      <c r="AA64" s="473"/>
      <c r="AB64" s="473"/>
      <c r="AC64" s="473"/>
      <c r="AD64" s="474"/>
      <c r="AE64" s="465"/>
    </row>
    <row r="65" spans="2:31">
      <c r="B65" s="466"/>
      <c r="U65" s="473"/>
      <c r="V65" s="476"/>
      <c r="W65" s="473"/>
      <c r="X65" s="473"/>
      <c r="Y65" s="473"/>
      <c r="Z65" s="473"/>
      <c r="AA65" s="473"/>
      <c r="AB65" s="473"/>
      <c r="AC65" s="473"/>
      <c r="AD65" s="474"/>
      <c r="AE65" s="465"/>
    </row>
    <row r="66" spans="2:31">
      <c r="B66" s="466"/>
      <c r="U66" s="473"/>
      <c r="V66" s="476"/>
      <c r="W66" s="473"/>
      <c r="X66" s="473"/>
      <c r="Y66" s="473"/>
      <c r="Z66" s="473"/>
      <c r="AA66" s="473"/>
      <c r="AB66" s="473"/>
      <c r="AC66" s="473"/>
      <c r="AD66" s="474"/>
      <c r="AE66" s="465"/>
    </row>
    <row r="67" spans="2:31" ht="13.5" thickBot="1">
      <c r="B67" s="478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80"/>
      <c r="V67" s="481"/>
      <c r="W67" s="480"/>
      <c r="X67" s="480"/>
      <c r="Y67" s="480"/>
      <c r="Z67" s="480"/>
      <c r="AA67" s="480"/>
      <c r="AB67" s="480"/>
      <c r="AC67" s="480"/>
      <c r="AD67" s="482"/>
      <c r="AE67" s="465"/>
    </row>
    <row r="68" spans="2:31" ht="6" customHeight="1" thickBot="1"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  <c r="AB68" s="479"/>
      <c r="AC68" s="479"/>
      <c r="AD68" s="479"/>
      <c r="AE68" s="483"/>
    </row>
    <row r="75" spans="2:31">
      <c r="M75" s="484"/>
    </row>
    <row r="76" spans="2:31" ht="15" customHeight="1">
      <c r="E76" s="485"/>
      <c r="M76" s="484"/>
    </row>
    <row r="77" spans="2:31" ht="15" customHeight="1">
      <c r="E77" s="485"/>
      <c r="M77" s="484"/>
    </row>
    <row r="78" spans="2:31" ht="15" customHeight="1">
      <c r="E78" s="485"/>
      <c r="M78" s="484"/>
    </row>
    <row r="79" spans="2:31" ht="15" customHeight="1">
      <c r="E79" s="485"/>
      <c r="M79" s="484"/>
    </row>
    <row r="80" spans="2:31" ht="15" customHeight="1">
      <c r="E80" s="485"/>
      <c r="M80" s="484"/>
    </row>
    <row r="81" spans="5:13" ht="15" customHeight="1">
      <c r="E81" s="485"/>
      <c r="M81" s="484"/>
    </row>
    <row r="82" spans="5:13" ht="15" customHeight="1">
      <c r="E82" s="485"/>
      <c r="M82" s="484"/>
    </row>
    <row r="83" spans="5:13" ht="15" customHeight="1">
      <c r="E83" s="485"/>
      <c r="M83" s="484"/>
    </row>
    <row r="84" spans="5:13" ht="15" customHeight="1">
      <c r="E84" s="485"/>
      <c r="M84" s="484"/>
    </row>
    <row r="85" spans="5:13" ht="15" customHeight="1">
      <c r="E85" s="485"/>
      <c r="M85" s="484"/>
    </row>
    <row r="86" spans="5:13" ht="15" customHeight="1">
      <c r="E86" s="485"/>
      <c r="M86" s="484"/>
    </row>
    <row r="87" spans="5:13" ht="15" customHeight="1">
      <c r="E87" s="485"/>
      <c r="M87" s="484"/>
    </row>
    <row r="88" spans="5:13" ht="15" customHeight="1">
      <c r="E88" s="485"/>
      <c r="M88" s="484"/>
    </row>
    <row r="89" spans="5:13" ht="15" customHeight="1">
      <c r="E89" s="485"/>
      <c r="M89" s="484"/>
    </row>
    <row r="90" spans="5:13" ht="15" customHeight="1">
      <c r="E90" s="485"/>
      <c r="M90" s="484"/>
    </row>
    <row r="91" spans="5:13" ht="15" customHeight="1">
      <c r="E91" s="485"/>
      <c r="M91" s="484"/>
    </row>
    <row r="92" spans="5:13" ht="15" customHeight="1">
      <c r="E92" s="485"/>
      <c r="M92" s="484"/>
    </row>
    <row r="93" spans="5:13" ht="15" customHeight="1">
      <c r="E93" s="485"/>
      <c r="M93" s="484"/>
    </row>
    <row r="94" spans="5:13" ht="15" customHeight="1">
      <c r="E94" s="485"/>
      <c r="M94" s="484"/>
    </row>
    <row r="95" spans="5:13" ht="15" customHeight="1">
      <c r="E95" s="485"/>
      <c r="M95" s="484"/>
    </row>
    <row r="96" spans="5:13" ht="15" customHeight="1">
      <c r="E96" s="485"/>
      <c r="M96" s="484"/>
    </row>
    <row r="97" spans="5:13" ht="15" customHeight="1">
      <c r="E97" s="485"/>
      <c r="M97" s="484"/>
    </row>
    <row r="98" spans="5:13" ht="15" customHeight="1">
      <c r="E98" s="485"/>
    </row>
    <row r="99" spans="5:13" ht="15" customHeight="1">
      <c r="E99" s="485"/>
    </row>
    <row r="100" spans="5:13" ht="15" customHeight="1">
      <c r="E100" s="485"/>
    </row>
    <row r="101" spans="5:13" ht="15" customHeight="1">
      <c r="E101" s="485"/>
    </row>
    <row r="102" spans="5:13" ht="15" customHeight="1">
      <c r="E102" s="485"/>
    </row>
    <row r="103" spans="5:13" ht="15" customHeight="1">
      <c r="E103" s="485"/>
    </row>
    <row r="104" spans="5:13" ht="15" customHeight="1">
      <c r="E104" s="485"/>
    </row>
    <row r="105" spans="5:13" ht="15" customHeight="1">
      <c r="E105" s="485"/>
    </row>
    <row r="106" spans="5:13" ht="15" customHeight="1">
      <c r="E106" s="485"/>
    </row>
    <row r="107" spans="5:13" ht="15" customHeight="1">
      <c r="E107" s="485"/>
    </row>
    <row r="108" spans="5:13" ht="15" customHeight="1">
      <c r="E108" s="485"/>
    </row>
    <row r="109" spans="5:13" ht="15" customHeight="1">
      <c r="E109" s="485"/>
    </row>
    <row r="110" spans="5:13" ht="15" customHeight="1">
      <c r="E110" s="485"/>
    </row>
    <row r="111" spans="5:13" ht="15" customHeight="1">
      <c r="E111" s="485"/>
    </row>
    <row r="112" spans="5:13" ht="15" customHeight="1">
      <c r="E112" s="485"/>
    </row>
    <row r="113" spans="5:5" ht="15" customHeight="1">
      <c r="E113" s="485"/>
    </row>
    <row r="114" spans="5:5" ht="15" customHeight="1">
      <c r="E114" s="485"/>
    </row>
    <row r="115" spans="5:5" ht="15" customHeight="1">
      <c r="E115" s="485"/>
    </row>
    <row r="116" spans="5:5" ht="15" customHeight="1">
      <c r="E116" s="485"/>
    </row>
    <row r="117" spans="5:5" ht="15" customHeight="1">
      <c r="E117" s="485"/>
    </row>
    <row r="118" spans="5:5" ht="15" customHeight="1">
      <c r="E118" s="485"/>
    </row>
    <row r="119" spans="5:5" ht="15" customHeight="1">
      <c r="E119" s="485"/>
    </row>
    <row r="120" spans="5:5" ht="15" customHeight="1">
      <c r="E120" s="485"/>
    </row>
    <row r="121" spans="5:5" ht="15" customHeight="1">
      <c r="E121" s="485"/>
    </row>
    <row r="122" spans="5:5">
      <c r="E122" s="48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zoomScale="43" zoomScaleNormal="130" zoomScaleSheetLayoutView="40" workbookViewId="0">
      <selection activeCell="AE38" sqref="AE3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24" t="s">
        <v>1624</v>
      </c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6"/>
      <c r="AD4" s="206"/>
      <c r="AE4" s="205"/>
      <c r="AF4" s="205"/>
    </row>
    <row r="5" spans="2:32" ht="13.5" customHeight="1" thickBot="1">
      <c r="B5" s="204"/>
      <c r="C5" s="204"/>
      <c r="D5" s="727"/>
      <c r="E5" s="728"/>
      <c r="F5" s="728"/>
      <c r="G5" s="728"/>
      <c r="H5" s="728"/>
      <c r="I5" s="728"/>
      <c r="J5" s="728"/>
      <c r="K5" s="728"/>
      <c r="L5" s="728"/>
      <c r="M5" s="728"/>
      <c r="N5" s="728"/>
      <c r="O5" s="728"/>
      <c r="P5" s="728"/>
      <c r="Q5" s="728"/>
      <c r="R5" s="728"/>
      <c r="S5" s="728"/>
      <c r="T5" s="728"/>
      <c r="U5" s="728"/>
      <c r="V5" s="728"/>
      <c r="W5" s="728"/>
      <c r="X5" s="728"/>
      <c r="Y5" s="728"/>
      <c r="Z5" s="728"/>
      <c r="AA5" s="728"/>
      <c r="AB5" s="728"/>
      <c r="AC5" s="72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512"/>
    </row>
    <row r="76" spans="2:32" ht="15" customHeight="1">
      <c r="F76" s="513"/>
      <c r="N76" s="512"/>
    </row>
    <row r="77" spans="2:32" ht="15" customHeight="1">
      <c r="F77" s="513"/>
      <c r="N77" s="512"/>
    </row>
    <row r="78" spans="2:32" ht="15" customHeight="1">
      <c r="F78" s="513"/>
      <c r="N78" s="512"/>
    </row>
    <row r="79" spans="2:32" ht="15" customHeight="1">
      <c r="F79" s="513"/>
      <c r="N79" s="512"/>
    </row>
    <row r="80" spans="2:32" ht="15" customHeight="1">
      <c r="F80" s="513"/>
      <c r="N80" s="512"/>
    </row>
    <row r="81" spans="6:14" ht="15" customHeight="1">
      <c r="F81" s="513"/>
      <c r="N81" s="512"/>
    </row>
    <row r="82" spans="6:14" ht="15" customHeight="1">
      <c r="F82" s="513"/>
      <c r="N82" s="512"/>
    </row>
    <row r="83" spans="6:14" ht="15" customHeight="1">
      <c r="F83" s="513"/>
      <c r="N83" s="512"/>
    </row>
    <row r="84" spans="6:14" ht="15" customHeight="1">
      <c r="F84" s="513"/>
      <c r="N84" s="512"/>
    </row>
    <row r="85" spans="6:14" ht="15" customHeight="1">
      <c r="F85" s="513"/>
      <c r="N85" s="512"/>
    </row>
    <row r="86" spans="6:14" ht="15" customHeight="1">
      <c r="F86" s="513"/>
      <c r="N86" s="512"/>
    </row>
    <row r="87" spans="6:14" ht="15" customHeight="1">
      <c r="F87" s="513"/>
      <c r="N87" s="512"/>
    </row>
    <row r="88" spans="6:14" ht="15" customHeight="1">
      <c r="F88" s="513"/>
      <c r="N88" s="512"/>
    </row>
    <row r="89" spans="6:14" ht="15" customHeight="1">
      <c r="F89" s="513"/>
      <c r="N89" s="512"/>
    </row>
    <row r="90" spans="6:14" ht="15" customHeight="1">
      <c r="F90" s="513"/>
      <c r="N90" s="512"/>
    </row>
    <row r="91" spans="6:14" ht="15" customHeight="1">
      <c r="F91" s="513"/>
      <c r="N91" s="512"/>
    </row>
    <row r="92" spans="6:14" ht="15" customHeight="1">
      <c r="F92" s="513"/>
      <c r="N92" s="512"/>
    </row>
    <row r="93" spans="6:14" ht="15" customHeight="1">
      <c r="F93" s="513"/>
      <c r="N93" s="512"/>
    </row>
    <row r="94" spans="6:14" ht="15" customHeight="1">
      <c r="F94" s="513"/>
      <c r="N94" s="512"/>
    </row>
    <row r="95" spans="6:14" ht="15" customHeight="1">
      <c r="F95" s="513"/>
      <c r="N95" s="512"/>
    </row>
    <row r="96" spans="6:14" ht="15" customHeight="1">
      <c r="F96" s="513"/>
      <c r="N96" s="512"/>
    </row>
    <row r="97" spans="6:14" ht="15" customHeight="1">
      <c r="F97" s="513"/>
      <c r="N97" s="512"/>
    </row>
    <row r="98" spans="6:14" ht="15" customHeight="1">
      <c r="F98" s="513"/>
    </row>
    <row r="99" spans="6:14" ht="15" customHeight="1">
      <c r="F99" s="513"/>
    </row>
    <row r="100" spans="6:14" ht="15" customHeight="1">
      <c r="F100" s="513"/>
    </row>
    <row r="101" spans="6:14" ht="15" customHeight="1">
      <c r="F101" s="513"/>
    </row>
    <row r="102" spans="6:14" ht="15" customHeight="1">
      <c r="F102" s="513"/>
    </row>
    <row r="103" spans="6:14" ht="15" customHeight="1">
      <c r="F103" s="513"/>
    </row>
    <row r="104" spans="6:14" ht="15" customHeight="1">
      <c r="F104" s="513"/>
    </row>
    <row r="105" spans="6:14" ht="15" customHeight="1">
      <c r="F105" s="513"/>
    </row>
    <row r="106" spans="6:14" ht="15" customHeight="1">
      <c r="F106" s="513"/>
    </row>
    <row r="107" spans="6:14" ht="15" customHeight="1">
      <c r="F107" s="513"/>
    </row>
    <row r="108" spans="6:14" ht="15" customHeight="1">
      <c r="F108" s="513"/>
    </row>
    <row r="109" spans="6:14" ht="15" customHeight="1">
      <c r="F109" s="513"/>
    </row>
    <row r="110" spans="6:14" ht="15" customHeight="1">
      <c r="F110" s="513"/>
    </row>
    <row r="111" spans="6:14" ht="15" customHeight="1">
      <c r="F111" s="513"/>
    </row>
    <row r="112" spans="6:14" ht="15" customHeight="1">
      <c r="F112" s="513"/>
    </row>
    <row r="113" spans="6:6" ht="15" customHeight="1">
      <c r="F113" s="513"/>
    </row>
    <row r="114" spans="6:6" ht="15" customHeight="1">
      <c r="F114" s="513"/>
    </row>
    <row r="115" spans="6:6" ht="15" customHeight="1">
      <c r="F115" s="513"/>
    </row>
    <row r="116" spans="6:6" ht="15" customHeight="1">
      <c r="F116" s="513"/>
    </row>
    <row r="117" spans="6:6" ht="15" customHeight="1">
      <c r="F117" s="513"/>
    </row>
    <row r="118" spans="6:6" ht="15" customHeight="1">
      <c r="F118" s="513"/>
    </row>
    <row r="119" spans="6:6" ht="15" customHeight="1">
      <c r="F119" s="513"/>
    </row>
    <row r="120" spans="6:6" ht="15" customHeight="1">
      <c r="F120" s="513"/>
    </row>
    <row r="121" spans="6:6" ht="15" customHeight="1">
      <c r="F121" s="513"/>
    </row>
    <row r="122" spans="6:6">
      <c r="F122" s="513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2023-11-24T08:38:58Z</dcterms:modified>
</cp:coreProperties>
</file>