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6EB564AB-0C33-4CC2-8733-1BBDFED9D2BA}" xr6:coauthVersionLast="47" xr6:coauthVersionMax="47" xr10:uidLastSave="{00000000-0000-0000-0000-000000000000}"/>
  <bookViews>
    <workbookView xWindow="-120" yWindow="-120" windowWidth="20730" windowHeight="11160" tabRatio="859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5" r:id="rId10"/>
    <sheet name="Peta lokasi " sheetId="86" r:id="rId11"/>
    <sheet name="SLD " sheetId="8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INDEX([47]KKO!#REF!,MATCH([47]KKO!#REF!:[47]KKO!#REF!,0)*2)</definedName>
    <definedName name="GBR" localSheetId="11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INDEX([47]PDL!$B$1:$B$3,IFERROR(MATCH([47]KKO!$D$15,[47]PDL!$A$1:$A$2,),3))</definedName>
    <definedName name="Kutools_PDL0_1" localSheetId="11">INDEX([47]PDL!$B$1:$B$3,IFERROR(MATCH([47]KKO!$D$15,[47]PDL!$A$1:$A$2,),3))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INDEX([47]PDL!$D$4:$D$6,IFERROR(MATCH([47]KKO!$D$15,[47]PDL!$C$4:$C$5,),3))</definedName>
    <definedName name="Kutools_PDL1_1" localSheetId="11">INDEX([47]PDL!$D$4:$D$6,IFERROR(MATCH([47]KKO!$D$15,[47]PDL!$C$4:$C$5,),3))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INDEX([47]PDL!$V$31:$V$33,IFERROR(MATCH([47]KKO!$K$15,[47]PDL!$U$31:$U$32,),3))</definedName>
    <definedName name="Kutools_PDL10_1" localSheetId="11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INDEX([47]PDL!$F$7:$F$9,IFERROR(MATCH([47]KKO!$K$15,[47]PDL!$E$7:$E$8,),3))</definedName>
    <definedName name="Kutools_PDL2_1" localSheetId="11">INDEX([47]PDL!$F$7:$F$9,IFERROR(MATCH([47]KKO!$K$15,[47]PDL!$E$7:$E$8,),3))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INDEX([47]PDL!$H$10:$H$12,IFERROR(MATCH([47]KKO!$D$15,[47]PDL!$G$10:$G$11,),3))</definedName>
    <definedName name="Kutools_PDL3_1" localSheetId="11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INDEX([47]PDL!$J$13:$J$15,IFERROR(MATCH([47]KKO!$D$15,[47]PDL!$I$13:$I$14,),3))</definedName>
    <definedName name="Kutools_PDL4_1" localSheetId="11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INDEX([47]PDL!$L$16:$L$18,IFERROR(MATCH([47]KKO!$K$15,[47]PDL!$K$16:$K$17,),3))</definedName>
    <definedName name="Kutools_PDL5_1" localSheetId="11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INDEX([47]PDL!$N$19:$N$21,IFERROR(MATCH([47]KKO!$D$15,[47]PDL!$M$19:$M$20,),3))</definedName>
    <definedName name="Kutools_PDL6_1" localSheetId="11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INDEX([47]PDL!$P$22:$P$24,IFERROR(MATCH([47]KKO!$D$15,[47]PDL!$O$22:$O$23,),3))</definedName>
    <definedName name="Kutools_PDL7_1" localSheetId="11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INDEX([47]PDL!$R$25:$R$27,IFERROR(MATCH([47]KKO!$D$15,[47]PDL!$Q$25:$Q$26,),3))</definedName>
    <definedName name="Kutools_PDL8_1" localSheetId="11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INDEX([47]PDL!$T$28:$T$30,IFERROR(MATCH([47]KKO!$D$15,[47]PDL!$S$28:$S$29,),3))</definedName>
    <definedName name="Kutools_PDL9_1" localSheetId="11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[47]KKO!#REF!</definedName>
    <definedName name="pict" localSheetId="11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 '!$A$1:$AD$67</definedName>
    <definedName name="_xlnm.Print_Area" localSheetId="8">RAB!$A$1:$K$155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[73]JAN07!#REF!</definedName>
    <definedName name="rtyu" localSheetId="9">[74]JAN07!#REF!</definedName>
    <definedName name="rtyu" localSheetId="7">[73]JAN07!#REF!</definedName>
    <definedName name="rtyu" localSheetId="10">[74]JAN07!#REF!</definedName>
    <definedName name="rtyu">[74]JAN07!#REF!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[73]JAN07!#REF!</definedName>
    <definedName name="swed" localSheetId="7">[73]JAN07!#REF!</definedName>
    <definedName name="swed">[74]JAN07!#REF!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[73]JAN07!#REF!</definedName>
    <definedName name="x" localSheetId="7">[73]JAN07!#REF!</definedName>
    <definedName name="x">[74]JAN07!#REF!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[73]JAN07!#REF!</definedName>
    <definedName name="xs" localSheetId="9">[74]JAN07!#REF!</definedName>
    <definedName name="xs" localSheetId="7">[73]JAN07!#REF!</definedName>
    <definedName name="xs" localSheetId="5">[74]JAN07!#REF!</definedName>
    <definedName name="xs" localSheetId="10">[74]JAN07!#REF!</definedName>
    <definedName name="xs">[74]JAN07!#REF!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8"/>
  <fileRecoveryPr repairLoad="1"/>
</workbook>
</file>

<file path=xl/calcChain.xml><?xml version="1.0" encoding="utf-8"?>
<calcChain xmlns="http://schemas.openxmlformats.org/spreadsheetml/2006/main">
  <c r="G132" i="11" l="1"/>
  <c r="G133" i="11"/>
  <c r="G134" i="11"/>
  <c r="D132" i="11"/>
  <c r="H132" i="11" s="1"/>
  <c r="E132" i="11"/>
  <c r="D133" i="11"/>
  <c r="J133" i="11" s="1"/>
  <c r="E133" i="11"/>
  <c r="D134" i="11"/>
  <c r="I134" i="11" s="1"/>
  <c r="E134" i="11"/>
  <c r="F124" i="11"/>
  <c r="F122" i="11"/>
  <c r="F121" i="11"/>
  <c r="F12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D113" i="11"/>
  <c r="I113" i="11" s="1"/>
  <c r="E113" i="11"/>
  <c r="D114" i="11"/>
  <c r="I114" i="11" s="1"/>
  <c r="E114" i="11"/>
  <c r="D115" i="11"/>
  <c r="E115" i="11"/>
  <c r="D116" i="11"/>
  <c r="H116" i="11" s="1"/>
  <c r="E116" i="11"/>
  <c r="D117" i="11"/>
  <c r="I117" i="11" s="1"/>
  <c r="E117" i="11"/>
  <c r="F78" i="11"/>
  <c r="F77" i="11"/>
  <c r="F76" i="11"/>
  <c r="F75" i="11"/>
  <c r="F74" i="11"/>
  <c r="F73" i="11"/>
  <c r="F84" i="11"/>
  <c r="F83" i="11"/>
  <c r="F82" i="11"/>
  <c r="F8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G39" i="11"/>
  <c r="D39" i="11"/>
  <c r="H39" i="11" s="1"/>
  <c r="E39" i="11"/>
  <c r="J115" i="11" l="1"/>
  <c r="I133" i="11"/>
  <c r="H134" i="11"/>
  <c r="J132" i="11"/>
  <c r="H133" i="11"/>
  <c r="I132" i="11"/>
  <c r="J134" i="11"/>
  <c r="J116" i="11"/>
  <c r="I116" i="11"/>
  <c r="J114" i="11"/>
  <c r="H114" i="11"/>
  <c r="H113" i="11"/>
  <c r="I115" i="11"/>
  <c r="J117" i="11"/>
  <c r="H115" i="11"/>
  <c r="J113" i="11"/>
  <c r="H117" i="11"/>
  <c r="J39" i="11"/>
  <c r="I39" i="11"/>
  <c r="K114" i="11" l="1"/>
  <c r="K132" i="11"/>
  <c r="K116" i="11"/>
  <c r="K133" i="11"/>
  <c r="K134" i="11"/>
  <c r="K117" i="11"/>
  <c r="K39" i="11"/>
  <c r="K115" i="11"/>
  <c r="K113" i="11"/>
  <c r="F90" i="11" l="1"/>
  <c r="F89" i="11"/>
  <c r="F88" i="11"/>
  <c r="F87" i="11"/>
  <c r="G17" i="11"/>
  <c r="D17" i="11"/>
  <c r="H17" i="11" s="1"/>
  <c r="E17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D51" i="11"/>
  <c r="H51" i="11" s="1"/>
  <c r="E51" i="11"/>
  <c r="D52" i="11"/>
  <c r="J52" i="11" s="1"/>
  <c r="E52" i="11"/>
  <c r="D53" i="11"/>
  <c r="I53" i="11" s="1"/>
  <c r="E53" i="11"/>
  <c r="D54" i="11"/>
  <c r="E54" i="11"/>
  <c r="D55" i="11"/>
  <c r="H55" i="11" s="1"/>
  <c r="E55" i="11"/>
  <c r="D56" i="11"/>
  <c r="J56" i="11" s="1"/>
  <c r="E56" i="11"/>
  <c r="D57" i="11"/>
  <c r="E57" i="11"/>
  <c r="D58" i="11"/>
  <c r="H58" i="11" s="1"/>
  <c r="E58" i="11"/>
  <c r="D59" i="11"/>
  <c r="J59" i="11" s="1"/>
  <c r="E59" i="11"/>
  <c r="D60" i="11"/>
  <c r="J60" i="11" s="1"/>
  <c r="E60" i="11"/>
  <c r="D61" i="11"/>
  <c r="E61" i="11"/>
  <c r="D62" i="11"/>
  <c r="H62" i="11" s="1"/>
  <c r="E62" i="11"/>
  <c r="D63" i="11"/>
  <c r="H63" i="11" s="1"/>
  <c r="E63" i="11"/>
  <c r="D64" i="11"/>
  <c r="J64" i="11" s="1"/>
  <c r="E64" i="11"/>
  <c r="D65" i="11"/>
  <c r="E65" i="11"/>
  <c r="D66" i="11"/>
  <c r="H66" i="11" s="1"/>
  <c r="E66" i="11"/>
  <c r="D67" i="11"/>
  <c r="J67" i="11" s="1"/>
  <c r="E67" i="11"/>
  <c r="D68" i="11"/>
  <c r="J68" i="11" s="1"/>
  <c r="E68" i="11"/>
  <c r="D69" i="11"/>
  <c r="E69" i="11"/>
  <c r="D70" i="11"/>
  <c r="E70" i="11"/>
  <c r="D71" i="11"/>
  <c r="H71" i="11" s="1"/>
  <c r="E71" i="11"/>
  <c r="D72" i="11"/>
  <c r="J72" i="11" s="1"/>
  <c r="E72" i="11"/>
  <c r="D73" i="11"/>
  <c r="E73" i="11"/>
  <c r="D74" i="11"/>
  <c r="H74" i="11" s="1"/>
  <c r="E74" i="11"/>
  <c r="D75" i="11"/>
  <c r="J75" i="11" s="1"/>
  <c r="E75" i="11"/>
  <c r="D76" i="11"/>
  <c r="J76" i="11" s="1"/>
  <c r="E76" i="11"/>
  <c r="D77" i="11"/>
  <c r="E77" i="11"/>
  <c r="D78" i="11"/>
  <c r="H78" i="11" s="1"/>
  <c r="E78" i="11"/>
  <c r="D79" i="11"/>
  <c r="H79" i="11" s="1"/>
  <c r="E79" i="11"/>
  <c r="D80" i="11"/>
  <c r="J80" i="11" s="1"/>
  <c r="E80" i="11"/>
  <c r="D81" i="11"/>
  <c r="E81" i="11"/>
  <c r="D82" i="11"/>
  <c r="H82" i="11" s="1"/>
  <c r="E82" i="11"/>
  <c r="D83" i="11"/>
  <c r="H83" i="11" s="1"/>
  <c r="E83" i="11"/>
  <c r="D84" i="11"/>
  <c r="E84" i="11"/>
  <c r="D85" i="11"/>
  <c r="J85" i="11" s="1"/>
  <c r="E85" i="11"/>
  <c r="D86" i="11"/>
  <c r="J86" i="11" s="1"/>
  <c r="E86" i="11"/>
  <c r="D87" i="11"/>
  <c r="E87" i="11"/>
  <c r="D88" i="11"/>
  <c r="H88" i="11" s="1"/>
  <c r="E88" i="11"/>
  <c r="D89" i="11"/>
  <c r="J89" i="11" s="1"/>
  <c r="E89" i="11"/>
  <c r="D90" i="11"/>
  <c r="E90" i="11"/>
  <c r="F50" i="11"/>
  <c r="F49" i="11"/>
  <c r="F48" i="11"/>
  <c r="F47" i="11"/>
  <c r="F46" i="11"/>
  <c r="F45" i="11"/>
  <c r="F44" i="11"/>
  <c r="F43" i="11"/>
  <c r="F42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1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40" i="11"/>
  <c r="G41" i="11"/>
  <c r="G42" i="11"/>
  <c r="G43" i="11"/>
  <c r="G44" i="11"/>
  <c r="G45" i="11"/>
  <c r="G46" i="11"/>
  <c r="G47" i="11"/>
  <c r="G48" i="11"/>
  <c r="G49" i="11"/>
  <c r="G50" i="11"/>
  <c r="D26" i="11"/>
  <c r="E26" i="11"/>
  <c r="D27" i="11"/>
  <c r="J27" i="11" s="1"/>
  <c r="E27" i="11"/>
  <c r="D28" i="11"/>
  <c r="E28" i="11"/>
  <c r="D29" i="11"/>
  <c r="H29" i="11" s="1"/>
  <c r="E29" i="11"/>
  <c r="D30" i="11"/>
  <c r="H30" i="11" s="1"/>
  <c r="E30" i="11"/>
  <c r="D31" i="11"/>
  <c r="J31" i="11" s="1"/>
  <c r="E31" i="11"/>
  <c r="D32" i="11"/>
  <c r="E32" i="11"/>
  <c r="D33" i="11"/>
  <c r="H33" i="11" s="1"/>
  <c r="E33" i="11"/>
  <c r="D34" i="11"/>
  <c r="H34" i="11" s="1"/>
  <c r="E34" i="11"/>
  <c r="D35" i="11"/>
  <c r="J35" i="11" s="1"/>
  <c r="E35" i="11"/>
  <c r="D36" i="11"/>
  <c r="E36" i="11"/>
  <c r="D37" i="11"/>
  <c r="H37" i="11" s="1"/>
  <c r="E37" i="11"/>
  <c r="D38" i="11"/>
  <c r="H38" i="11" s="1"/>
  <c r="E38" i="11"/>
  <c r="D40" i="11"/>
  <c r="E40" i="11"/>
  <c r="D41" i="11"/>
  <c r="I41" i="11" s="1"/>
  <c r="E41" i="11"/>
  <c r="D42" i="11"/>
  <c r="H42" i="11" s="1"/>
  <c r="E42" i="11"/>
  <c r="D43" i="11"/>
  <c r="H43" i="11" s="1"/>
  <c r="E43" i="11"/>
  <c r="D44" i="11"/>
  <c r="J44" i="11" s="1"/>
  <c r="E44" i="11"/>
  <c r="D45" i="11"/>
  <c r="E45" i="11"/>
  <c r="D46" i="11"/>
  <c r="H46" i="11" s="1"/>
  <c r="E46" i="11"/>
  <c r="D47" i="11"/>
  <c r="H47" i="11" s="1"/>
  <c r="E47" i="11"/>
  <c r="D48" i="11"/>
  <c r="J48" i="11" s="1"/>
  <c r="E48" i="11"/>
  <c r="D49" i="11"/>
  <c r="E49" i="11"/>
  <c r="D50" i="11"/>
  <c r="H50" i="11" s="1"/>
  <c r="E50" i="11"/>
  <c r="G19" i="11"/>
  <c r="G20" i="11"/>
  <c r="G21" i="11"/>
  <c r="G22" i="11"/>
  <c r="G23" i="11"/>
  <c r="G24" i="11"/>
  <c r="G25" i="11"/>
  <c r="D20" i="11"/>
  <c r="J20" i="11" s="1"/>
  <c r="E20" i="11"/>
  <c r="D21" i="11"/>
  <c r="E21" i="11"/>
  <c r="D22" i="11"/>
  <c r="H22" i="11" s="1"/>
  <c r="E22" i="11"/>
  <c r="D23" i="11"/>
  <c r="E23" i="11"/>
  <c r="D24" i="11"/>
  <c r="J24" i="11" s="1"/>
  <c r="E24" i="11"/>
  <c r="D25" i="11"/>
  <c r="I25" i="11" s="1"/>
  <c r="E25" i="11"/>
  <c r="I73" i="11" l="1"/>
  <c r="I69" i="11"/>
  <c r="I65" i="11"/>
  <c r="I61" i="11"/>
  <c r="I57" i="11"/>
  <c r="J84" i="11"/>
  <c r="I77" i="11"/>
  <c r="J40" i="11"/>
  <c r="J90" i="11"/>
  <c r="I87" i="11"/>
  <c r="I81" i="11"/>
  <c r="J17" i="11"/>
  <c r="I17" i="11"/>
  <c r="H70" i="11"/>
  <c r="H54" i="11"/>
  <c r="I49" i="11"/>
  <c r="I45" i="11"/>
  <c r="I36" i="11"/>
  <c r="I32" i="11"/>
  <c r="I28" i="11"/>
  <c r="I86" i="11"/>
  <c r="I72" i="11"/>
  <c r="I56" i="11"/>
  <c r="I84" i="11"/>
  <c r="I68" i="11"/>
  <c r="I52" i="11"/>
  <c r="I80" i="11"/>
  <c r="I64" i="11"/>
  <c r="I90" i="11"/>
  <c r="I76" i="11"/>
  <c r="I60" i="11"/>
  <c r="H90" i="11"/>
  <c r="I89" i="11"/>
  <c r="J88" i="11"/>
  <c r="H86" i="11"/>
  <c r="I85" i="11"/>
  <c r="H84" i="11"/>
  <c r="I83" i="11"/>
  <c r="J82" i="11"/>
  <c r="H80" i="11"/>
  <c r="I79" i="11"/>
  <c r="J78" i="11"/>
  <c r="H76" i="11"/>
  <c r="I75" i="11"/>
  <c r="J74" i="11"/>
  <c r="H72" i="11"/>
  <c r="I71" i="11"/>
  <c r="J70" i="11"/>
  <c r="H68" i="11"/>
  <c r="I67" i="11"/>
  <c r="J66" i="11"/>
  <c r="H64" i="11"/>
  <c r="I63" i="11"/>
  <c r="J62" i="11"/>
  <c r="H60" i="11"/>
  <c r="I59" i="11"/>
  <c r="J58" i="11"/>
  <c r="H56" i="11"/>
  <c r="I55" i="11"/>
  <c r="J54" i="11"/>
  <c r="H52" i="11"/>
  <c r="I51" i="11"/>
  <c r="J83" i="11"/>
  <c r="H81" i="11"/>
  <c r="J79" i="11"/>
  <c r="H73" i="11"/>
  <c r="J71" i="11"/>
  <c r="H65" i="11"/>
  <c r="J63" i="11"/>
  <c r="H57" i="11"/>
  <c r="J55" i="11"/>
  <c r="J51" i="11"/>
  <c r="H89" i="11"/>
  <c r="I88" i="11"/>
  <c r="J87" i="11"/>
  <c r="H85" i="11"/>
  <c r="I82" i="11"/>
  <c r="J81" i="11"/>
  <c r="I78" i="11"/>
  <c r="J77" i="11"/>
  <c r="H75" i="11"/>
  <c r="I74" i="11"/>
  <c r="J73" i="11"/>
  <c r="I70" i="11"/>
  <c r="J69" i="11"/>
  <c r="H67" i="11"/>
  <c r="I66" i="11"/>
  <c r="J65" i="11"/>
  <c r="I62" i="11"/>
  <c r="J61" i="11"/>
  <c r="H59" i="11"/>
  <c r="I58" i="11"/>
  <c r="J57" i="11"/>
  <c r="I54" i="11"/>
  <c r="J53" i="11"/>
  <c r="H87" i="11"/>
  <c r="H77" i="11"/>
  <c r="H69" i="11"/>
  <c r="H61" i="11"/>
  <c r="H53" i="11"/>
  <c r="H26" i="11"/>
  <c r="H23" i="11"/>
  <c r="J43" i="11"/>
  <c r="H36" i="11"/>
  <c r="J34" i="11"/>
  <c r="I27" i="11"/>
  <c r="H45" i="11"/>
  <c r="J38" i="11"/>
  <c r="I31" i="11"/>
  <c r="J47" i="11"/>
  <c r="I35" i="11"/>
  <c r="H28" i="11"/>
  <c r="J26" i="11"/>
  <c r="H49" i="11"/>
  <c r="H32" i="11"/>
  <c r="J30" i="11"/>
  <c r="I48" i="11"/>
  <c r="I44" i="11"/>
  <c r="J50" i="11"/>
  <c r="H48" i="11"/>
  <c r="I47" i="11"/>
  <c r="J46" i="11"/>
  <c r="H44" i="11"/>
  <c r="I43" i="11"/>
  <c r="J42" i="11"/>
  <c r="H40" i="11"/>
  <c r="I38" i="11"/>
  <c r="J37" i="11"/>
  <c r="H35" i="11"/>
  <c r="I34" i="11"/>
  <c r="J33" i="11"/>
  <c r="H31" i="11"/>
  <c r="I30" i="11"/>
  <c r="J29" i="11"/>
  <c r="H27" i="11"/>
  <c r="I26" i="11"/>
  <c r="H41" i="11"/>
  <c r="I40" i="11"/>
  <c r="I50" i="11"/>
  <c r="K50" i="11" s="1"/>
  <c r="J49" i="11"/>
  <c r="I46" i="11"/>
  <c r="J45" i="11"/>
  <c r="I42" i="11"/>
  <c r="J41" i="11"/>
  <c r="I37" i="11"/>
  <c r="J36" i="11"/>
  <c r="I33" i="11"/>
  <c r="K33" i="11" s="1"/>
  <c r="J32" i="11"/>
  <c r="I29" i="11"/>
  <c r="J28" i="11"/>
  <c r="I21" i="11"/>
  <c r="J23" i="11"/>
  <c r="I20" i="11"/>
  <c r="I24" i="11"/>
  <c r="H21" i="11"/>
  <c r="H24" i="11"/>
  <c r="I23" i="11"/>
  <c r="J22" i="11"/>
  <c r="H20" i="11"/>
  <c r="H25" i="11"/>
  <c r="J25" i="11"/>
  <c r="I22" i="11"/>
  <c r="J21" i="11"/>
  <c r="K56" i="11" l="1"/>
  <c r="K52" i="11"/>
  <c r="K90" i="11"/>
  <c r="K87" i="11"/>
  <c r="K67" i="11"/>
  <c r="K70" i="11"/>
  <c r="K60" i="11"/>
  <c r="K66" i="11"/>
  <c r="K64" i="11"/>
  <c r="K72" i="11"/>
  <c r="K17" i="11"/>
  <c r="K80" i="11"/>
  <c r="K89" i="11"/>
  <c r="K77" i="11"/>
  <c r="K54" i="11"/>
  <c r="K85" i="11"/>
  <c r="K86" i="11"/>
  <c r="K59" i="11"/>
  <c r="K49" i="11"/>
  <c r="K53" i="11"/>
  <c r="K75" i="11"/>
  <c r="K82" i="11"/>
  <c r="K68" i="11"/>
  <c r="K84" i="11"/>
  <c r="K32" i="11"/>
  <c r="K31" i="11"/>
  <c r="K62" i="11"/>
  <c r="K63" i="11"/>
  <c r="K78" i="11"/>
  <c r="K76" i="11"/>
  <c r="K51" i="11"/>
  <c r="K83" i="11"/>
  <c r="K73" i="11"/>
  <c r="K58" i="11"/>
  <c r="K74" i="11"/>
  <c r="K79" i="11"/>
  <c r="K88" i="11"/>
  <c r="K55" i="11"/>
  <c r="K71" i="11"/>
  <c r="K38" i="11"/>
  <c r="K44" i="11"/>
  <c r="K61" i="11"/>
  <c r="K57" i="11"/>
  <c r="K69" i="11"/>
  <c r="K65" i="11"/>
  <c r="K81" i="11"/>
  <c r="K30" i="11"/>
  <c r="K34" i="11"/>
  <c r="K20" i="11"/>
  <c r="K29" i="11"/>
  <c r="K46" i="11"/>
  <c r="K35" i="11"/>
  <c r="K47" i="11"/>
  <c r="K27" i="11"/>
  <c r="K28" i="11"/>
  <c r="K37" i="11"/>
  <c r="K26" i="11"/>
  <c r="K43" i="11"/>
  <c r="K41" i="11"/>
  <c r="K42" i="11"/>
  <c r="K36" i="11"/>
  <c r="K45" i="11"/>
  <c r="K48" i="11"/>
  <c r="K40" i="11"/>
  <c r="K23" i="11"/>
  <c r="K24" i="11"/>
  <c r="K21" i="11"/>
  <c r="K22" i="11"/>
  <c r="K25" i="11"/>
  <c r="G120" i="11" l="1"/>
  <c r="G121" i="11"/>
  <c r="G122" i="11"/>
  <c r="G123" i="11"/>
  <c r="G124" i="11"/>
  <c r="D16" i="11"/>
  <c r="F131" i="11" l="1"/>
  <c r="F130" i="11"/>
  <c r="F129" i="11"/>
  <c r="F128" i="11"/>
  <c r="F127" i="11"/>
  <c r="D124" i="11"/>
  <c r="H124" i="11" s="1"/>
  <c r="E124" i="11"/>
  <c r="G118" i="11"/>
  <c r="G119" i="11"/>
  <c r="G125" i="11"/>
  <c r="G126" i="11"/>
  <c r="G127" i="11"/>
  <c r="G128" i="11"/>
  <c r="G129" i="11"/>
  <c r="G130" i="11"/>
  <c r="G131" i="11"/>
  <c r="D118" i="11"/>
  <c r="H118" i="11" s="1"/>
  <c r="E118" i="11"/>
  <c r="D119" i="11"/>
  <c r="J119" i="11" s="1"/>
  <c r="E119" i="11"/>
  <c r="D120" i="11"/>
  <c r="I120" i="11" s="1"/>
  <c r="E120" i="11"/>
  <c r="D121" i="11"/>
  <c r="E121" i="11"/>
  <c r="D122" i="11"/>
  <c r="E122" i="11"/>
  <c r="D123" i="11"/>
  <c r="E123" i="11"/>
  <c r="D125" i="11"/>
  <c r="I125" i="11" s="1"/>
  <c r="E125" i="11"/>
  <c r="D126" i="11"/>
  <c r="H126" i="11" s="1"/>
  <c r="E126" i="11"/>
  <c r="D127" i="11"/>
  <c r="H127" i="11" s="1"/>
  <c r="E127" i="11"/>
  <c r="D128" i="11"/>
  <c r="J128" i="11" s="1"/>
  <c r="E128" i="11"/>
  <c r="D129" i="11"/>
  <c r="E129" i="11"/>
  <c r="D130" i="11"/>
  <c r="H130" i="11" s="1"/>
  <c r="E130" i="11"/>
  <c r="D131" i="11"/>
  <c r="H131" i="11" s="1"/>
  <c r="E131" i="11"/>
  <c r="G15" i="11"/>
  <c r="G16" i="11"/>
  <c r="G18" i="11"/>
  <c r="I129" i="11" l="1"/>
  <c r="J124" i="11"/>
  <c r="I124" i="11"/>
  <c r="H122" i="11"/>
  <c r="J123" i="11"/>
  <c r="H121" i="11"/>
  <c r="J127" i="11"/>
  <c r="H125" i="11"/>
  <c r="H119" i="11"/>
  <c r="I128" i="11"/>
  <c r="J122" i="11"/>
  <c r="H120" i="11"/>
  <c r="H128" i="11"/>
  <c r="J126" i="11"/>
  <c r="I123" i="11"/>
  <c r="J118" i="11"/>
  <c r="H129" i="11"/>
  <c r="H123" i="11"/>
  <c r="J121" i="11"/>
  <c r="I119" i="11"/>
  <c r="J131" i="11"/>
  <c r="I131" i="11"/>
  <c r="J130" i="11"/>
  <c r="I127" i="11"/>
  <c r="I122" i="11"/>
  <c r="I118" i="11"/>
  <c r="I130" i="11"/>
  <c r="K130" i="11" s="1"/>
  <c r="J129" i="11"/>
  <c r="I126" i="11"/>
  <c r="J125" i="11"/>
  <c r="I121" i="11"/>
  <c r="J120" i="11"/>
  <c r="K127" i="11" l="1"/>
  <c r="K124" i="11"/>
  <c r="K123" i="11"/>
  <c r="K121" i="11"/>
  <c r="K131" i="11"/>
  <c r="K129" i="11"/>
  <c r="K128" i="11"/>
  <c r="K126" i="11"/>
  <c r="K122" i="11"/>
  <c r="K120" i="11"/>
  <c r="K125" i="11"/>
  <c r="K118" i="11"/>
  <c r="K119" i="11"/>
  <c r="D8" i="59" l="1"/>
  <c r="E16" i="11"/>
  <c r="E18" i="11"/>
  <c r="D135" i="11" l="1"/>
  <c r="J135" i="11" s="1"/>
  <c r="D15" i="11"/>
  <c r="D18" i="11"/>
  <c r="D19" i="11"/>
  <c r="K6" i="60"/>
  <c r="M136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O217" i="10"/>
  <c r="P217" i="10"/>
  <c r="K217" i="10"/>
  <c r="M217" i="10"/>
  <c r="J217" i="10"/>
  <c r="I217" i="10"/>
  <c r="E112" i="11"/>
  <c r="D112" i="11"/>
  <c r="E111" i="11"/>
  <c r="D111" i="11"/>
  <c r="E110" i="11"/>
  <c r="D110" i="11"/>
  <c r="E109" i="11"/>
  <c r="D109" i="11"/>
  <c r="E108" i="11"/>
  <c r="D108" i="11"/>
  <c r="E107" i="11"/>
  <c r="D107" i="11"/>
  <c r="E106" i="11"/>
  <c r="D106" i="11"/>
  <c r="E105" i="11"/>
  <c r="D105" i="11"/>
  <c r="E104" i="11"/>
  <c r="D104" i="11"/>
  <c r="E103" i="11"/>
  <c r="D103" i="11"/>
  <c r="E102" i="11"/>
  <c r="D102" i="11"/>
  <c r="E101" i="11"/>
  <c r="D101" i="11"/>
  <c r="E100" i="11"/>
  <c r="D100" i="11"/>
  <c r="E99" i="11"/>
  <c r="D99" i="11"/>
  <c r="E98" i="11"/>
  <c r="D98" i="11"/>
  <c r="E97" i="11"/>
  <c r="D97" i="11"/>
  <c r="E96" i="11"/>
  <c r="D96" i="11"/>
  <c r="E95" i="11"/>
  <c r="D95" i="11"/>
  <c r="E94" i="11"/>
  <c r="D94" i="11"/>
  <c r="E93" i="11"/>
  <c r="D93" i="11"/>
  <c r="E92" i="11"/>
  <c r="D92" i="11"/>
  <c r="E91" i="11"/>
  <c r="D91" i="11"/>
  <c r="M91" i="11"/>
  <c r="D14" i="59"/>
  <c r="D5" i="60" s="1"/>
  <c r="K5" i="60" s="1"/>
  <c r="E19" i="11"/>
  <c r="E15" i="11"/>
  <c r="A15" i="11"/>
  <c r="D19" i="59"/>
  <c r="D8" i="60" s="1"/>
  <c r="D18" i="59"/>
  <c r="M16" i="11"/>
  <c r="M117" i="11"/>
  <c r="E135" i="11"/>
  <c r="G135" i="11"/>
  <c r="D14" i="11"/>
  <c r="H14" i="11" s="1"/>
  <c r="E14" i="11"/>
  <c r="G14" i="11"/>
  <c r="K19" i="60"/>
  <c r="D19" i="60"/>
  <c r="M135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7" i="60"/>
  <c r="D9" i="60" s="1"/>
  <c r="K18" i="60"/>
  <c r="K17" i="60"/>
  <c r="D17" i="60"/>
  <c r="D18" i="60"/>
  <c r="D20" i="60"/>
  <c r="D6" i="60"/>
  <c r="D136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136" i="11"/>
  <c r="D137" i="11"/>
  <c r="E137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137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136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144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M126" i="1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D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D364" i="29" s="1"/>
  <c r="C714" i="41"/>
  <c r="D714" i="41" s="1"/>
  <c r="C339" i="29"/>
  <c r="C329" i="29"/>
  <c r="D329" i="29" s="1"/>
  <c r="E329" i="29" s="1"/>
  <c r="C373" i="29"/>
  <c r="D373" i="29" s="1"/>
  <c r="E373" i="29" s="1"/>
  <c r="C369" i="29"/>
  <c r="D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C346" i="29"/>
  <c r="D346" i="29" s="1"/>
  <c r="C358" i="29"/>
  <c r="D358" i="29" s="1"/>
  <c r="E358" i="29" s="1"/>
  <c r="C371" i="29"/>
  <c r="D371" i="29" s="1"/>
  <c r="C351" i="29"/>
  <c r="D351" i="29" s="1"/>
  <c r="C340" i="29"/>
  <c r="D340" i="29" s="1"/>
  <c r="C359" i="29"/>
  <c r="D359" i="29" s="1"/>
  <c r="F359" i="29" s="1"/>
  <c r="C330" i="29"/>
  <c r="D330" i="29" s="1"/>
  <c r="C356" i="29"/>
  <c r="D356" i="29" s="1"/>
  <c r="C355" i="29"/>
  <c r="D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332" i="29"/>
  <c r="D332" i="29" s="1"/>
  <c r="E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E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D1165" i="41" s="1"/>
  <c r="C997" i="41"/>
  <c r="D997" i="41" s="1"/>
  <c r="E997" i="41" s="1"/>
  <c r="C1192" i="41"/>
  <c r="D1192" i="41" s="1"/>
  <c r="E1192" i="41" s="1"/>
  <c r="C1028" i="41"/>
  <c r="D1028" i="41" s="1"/>
  <c r="C1212" i="41"/>
  <c r="D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D1061" i="41" s="1"/>
  <c r="E1061" i="41" s="1"/>
  <c r="C1102" i="41"/>
  <c r="D1102" i="41" s="1"/>
  <c r="C1059" i="41"/>
  <c r="D1059" i="41" s="1"/>
  <c r="E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D1223" i="41" s="1"/>
  <c r="E1223" i="41" s="1"/>
  <c r="C1103" i="41"/>
  <c r="D1103" i="41" s="1"/>
  <c r="C1115" i="41"/>
  <c r="D1115" i="41" s="1"/>
  <c r="E1115" i="41" s="1"/>
  <c r="C1235" i="41"/>
  <c r="D1235" i="41" s="1"/>
  <c r="C1256" i="41"/>
  <c r="D1256" i="41" s="1"/>
  <c r="C929" i="41"/>
  <c r="D929" i="41" s="1"/>
  <c r="E929" i="41" s="1"/>
  <c r="C1130" i="41"/>
  <c r="D1130" i="41" s="1"/>
  <c r="C731" i="41"/>
  <c r="D731" i="41" s="1"/>
  <c r="E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C769" i="41"/>
  <c r="D769" i="41" s="1"/>
  <c r="E769" i="41" s="1"/>
  <c r="C1074" i="41"/>
  <c r="D1074" i="41" s="1"/>
  <c r="C900" i="41"/>
  <c r="D900" i="41" s="1"/>
  <c r="E900" i="41" s="1"/>
  <c r="C1194" i="41"/>
  <c r="D1194" i="41" s="1"/>
  <c r="C1057" i="41"/>
  <c r="D1057" i="41" s="1"/>
  <c r="E1057" i="41" s="1"/>
  <c r="C941" i="41"/>
  <c r="D941" i="41" s="1"/>
  <c r="E941" i="41" s="1"/>
  <c r="C1030" i="41"/>
  <c r="D1030" i="41" s="1"/>
  <c r="C1055" i="41"/>
  <c r="D1055" i="41" s="1"/>
  <c r="C831" i="41"/>
  <c r="D831" i="41" s="1"/>
  <c r="E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C1160" i="41"/>
  <c r="D1160" i="41" s="1"/>
  <c r="C1163" i="41"/>
  <c r="D1163" i="41" s="1"/>
  <c r="C834" i="41"/>
  <c r="D834" i="41" s="1"/>
  <c r="F834" i="41" s="1"/>
  <c r="C1183" i="41"/>
  <c r="D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C949" i="41"/>
  <c r="D949" i="41" s="1"/>
  <c r="C836" i="41"/>
  <c r="D836" i="41" s="1"/>
  <c r="E836" i="41" s="1"/>
  <c r="C1312" i="41"/>
  <c r="D1312" i="41" s="1"/>
  <c r="C718" i="41"/>
  <c r="D718" i="41" s="1"/>
  <c r="E718" i="41" s="1"/>
  <c r="C716" i="41"/>
  <c r="D716" i="41" s="1"/>
  <c r="E716" i="41" s="1"/>
  <c r="C938" i="41"/>
  <c r="D938" i="41" s="1"/>
  <c r="E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C940" i="41"/>
  <c r="D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C740" i="41"/>
  <c r="D740" i="41" s="1"/>
  <c r="F740" i="41" s="1"/>
  <c r="C832" i="41"/>
  <c r="D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C963" i="41"/>
  <c r="D963" i="41" s="1"/>
  <c r="E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C853" i="41"/>
  <c r="D853" i="41" s="1"/>
  <c r="E853" i="41" s="1"/>
  <c r="C1224" i="41"/>
  <c r="D1224" i="41" s="1"/>
  <c r="C798" i="41"/>
  <c r="D798" i="41" s="1"/>
  <c r="F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C935" i="41"/>
  <c r="D935" i="41" s="1"/>
  <c r="E935" i="41" s="1"/>
  <c r="C1155" i="41"/>
  <c r="D1155" i="41" s="1"/>
  <c r="C950" i="41"/>
  <c r="D950" i="41" s="1"/>
  <c r="C987" i="41"/>
  <c r="D987" i="41" s="1"/>
  <c r="E987" i="41" s="1"/>
  <c r="C952" i="41"/>
  <c r="D952" i="41" s="1"/>
  <c r="C899" i="41"/>
  <c r="D899" i="41" s="1"/>
  <c r="C1269" i="41"/>
  <c r="D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E1086" i="41" s="1"/>
  <c r="C1042" i="41"/>
  <c r="D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C1097" i="41"/>
  <c r="D1097" i="41" s="1"/>
  <c r="E1097" i="41" s="1"/>
  <c r="C1303" i="41"/>
  <c r="D1303" i="41" s="1"/>
  <c r="C1013" i="41"/>
  <c r="D1013" i="41" s="1"/>
  <c r="C719" i="41"/>
  <c r="D719" i="41" s="1"/>
  <c r="E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C1031" i="41"/>
  <c r="D1031" i="41" s="1"/>
  <c r="E1031" i="41" s="1"/>
  <c r="C752" i="41"/>
  <c r="D752" i="41" s="1"/>
  <c r="C969" i="41"/>
  <c r="D969" i="41" s="1"/>
  <c r="C975" i="41"/>
  <c r="D975" i="41" s="1"/>
  <c r="E975" i="41" s="1"/>
  <c r="C1079" i="41"/>
  <c r="D1079" i="41" s="1"/>
  <c r="E1079" i="41" s="1"/>
  <c r="C1276" i="41"/>
  <c r="D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E759" i="41" s="1"/>
  <c r="C1099" i="41"/>
  <c r="D1099" i="41" s="1"/>
  <c r="E1099" i="41" s="1"/>
  <c r="C786" i="41"/>
  <c r="D786" i="41" s="1"/>
  <c r="E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C784" i="41"/>
  <c r="D784" i="41" s="1"/>
  <c r="C1198" i="41"/>
  <c r="D1198" i="41" s="1"/>
  <c r="C734" i="41"/>
  <c r="D734" i="41" s="1"/>
  <c r="F734" i="41" s="1"/>
  <c r="C1242" i="41"/>
  <c r="D1242" i="41" s="1"/>
  <c r="C754" i="41"/>
  <c r="D754" i="41" s="1"/>
  <c r="E754" i="41" s="1"/>
  <c r="C765" i="41"/>
  <c r="D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C1247" i="41"/>
  <c r="D1247" i="41" s="1"/>
  <c r="E1247" i="41" s="1"/>
  <c r="C835" i="41"/>
  <c r="C961" i="41"/>
  <c r="D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C780" i="41"/>
  <c r="D780" i="41" s="1"/>
  <c r="E780" i="41" s="1"/>
  <c r="C998" i="41"/>
  <c r="D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E758" i="41" s="1"/>
  <c r="C1094" i="41"/>
  <c r="D1094" i="41" s="1"/>
  <c r="E1094" i="41" s="1"/>
  <c r="C791" i="41"/>
  <c r="D791" i="41" s="1"/>
  <c r="F791" i="41" s="1"/>
  <c r="C1080" i="41"/>
  <c r="D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F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C994" i="41"/>
  <c r="D994" i="41" s="1"/>
  <c r="E994" i="41" s="1"/>
  <c r="C1118" i="41"/>
  <c r="D1118" i="41" s="1"/>
  <c r="C1170" i="41"/>
  <c r="D1170" i="41" s="1"/>
  <c r="C1176" i="41"/>
  <c r="D1176" i="41" s="1"/>
  <c r="E1176" i="41" s="1"/>
  <c r="C973" i="41"/>
  <c r="D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E1316" i="41" s="1"/>
  <c r="C1173" i="41"/>
  <c r="D1173" i="41" s="1"/>
  <c r="C809" i="41"/>
  <c r="D809" i="41" s="1"/>
  <c r="F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C946" i="41"/>
  <c r="D946" i="41" s="1"/>
  <c r="C974" i="41"/>
  <c r="D974" i="41" s="1"/>
  <c r="E974" i="41" s="1"/>
  <c r="C1274" i="41"/>
  <c r="D1274" i="41" s="1"/>
  <c r="E1274" i="41" s="1"/>
  <c r="C1273" i="41"/>
  <c r="D1273" i="41" s="1"/>
  <c r="C1295" i="41"/>
  <c r="D1295" i="41" s="1"/>
  <c r="C1249" i="41"/>
  <c r="D1249" i="41" s="1"/>
  <c r="C792" i="41"/>
  <c r="D792" i="41" s="1"/>
  <c r="E792" i="41" s="1"/>
  <c r="C1021" i="41"/>
  <c r="D1021" i="41" s="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E1068" i="41" s="1"/>
  <c r="C1213" i="41"/>
  <c r="D1213" i="41" s="1"/>
  <c r="E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E1073" i="41" s="1"/>
  <c r="C806" i="41"/>
  <c r="D806" i="41" s="1"/>
  <c r="E806" i="41" s="1"/>
  <c r="C1088" i="41"/>
  <c r="D1088" i="41" s="1"/>
  <c r="C1253" i="41"/>
  <c r="D1253" i="41" s="1"/>
  <c r="C891" i="41"/>
  <c r="D891" i="41" s="1"/>
  <c r="C1197" i="41"/>
  <c r="D1197" i="41" s="1"/>
  <c r="E1197" i="41" s="1"/>
  <c r="C1007" i="41"/>
  <c r="D1007" i="41" s="1"/>
  <c r="C860" i="41"/>
  <c r="D860" i="41" s="1"/>
  <c r="E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F739" i="41" s="1"/>
  <c r="C1204" i="41"/>
  <c r="D1204" i="41" s="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C867" i="41"/>
  <c r="D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C1025" i="41"/>
  <c r="D1025" i="41" s="1"/>
  <c r="E1025" i="41" s="1"/>
  <c r="C774" i="41"/>
  <c r="D774" i="41" s="1"/>
  <c r="E774" i="41" s="1"/>
  <c r="C1010" i="41"/>
  <c r="D1010" i="41" s="1"/>
  <c r="E1010" i="41" s="1"/>
  <c r="C956" i="41"/>
  <c r="D956" i="41" s="1"/>
  <c r="E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C849" i="41"/>
  <c r="D849" i="41" s="1"/>
  <c r="E849" i="41" s="1"/>
  <c r="C805" i="41"/>
  <c r="D805" i="41" s="1"/>
  <c r="C1112" i="41"/>
  <c r="D1112" i="41" s="1"/>
  <c r="E1112" i="41" s="1"/>
  <c r="C1027" i="41"/>
  <c r="D1027" i="41" s="1"/>
  <c r="C1278" i="41"/>
  <c r="D1278" i="41" s="1"/>
  <c r="C1096" i="41"/>
  <c r="D1096" i="41" s="1"/>
  <c r="E1096" i="41" s="1"/>
  <c r="C1216" i="41"/>
  <c r="D1216" i="41" s="1"/>
  <c r="E1216" i="41" s="1"/>
  <c r="C947" i="41"/>
  <c r="D947" i="41" s="1"/>
  <c r="C815" i="41"/>
  <c r="D815" i="41" s="1"/>
  <c r="F815" i="41" s="1"/>
  <c r="C996" i="41"/>
  <c r="D996" i="41" s="1"/>
  <c r="C1004" i="41"/>
  <c r="D1004" i="41" s="1"/>
  <c r="E1004" i="41" s="1"/>
  <c r="C1159" i="41"/>
  <c r="D1159" i="41" s="1"/>
  <c r="E1159" i="41" s="1"/>
  <c r="C851" i="41"/>
  <c r="D851" i="41" s="1"/>
  <c r="E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C1066" i="41"/>
  <c r="D1066" i="41" s="1"/>
  <c r="C1113" i="41"/>
  <c r="D1113" i="41" s="1"/>
  <c r="E1113" i="41" s="1"/>
  <c r="C991" i="41"/>
  <c r="D991" i="41" s="1"/>
  <c r="E991" i="41" s="1"/>
  <c r="C1153" i="41"/>
  <c r="D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E1260" i="41" s="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D927" i="41" s="1"/>
  <c r="E927" i="41" s="1"/>
  <c r="C1009" i="41"/>
  <c r="D1009" i="41" s="1"/>
  <c r="E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D1126" i="41" s="1"/>
  <c r="C1052" i="41"/>
  <c r="D1052" i="41" s="1"/>
  <c r="E1052" i="41" s="1"/>
  <c r="C737" i="41"/>
  <c r="D737" i="41" s="1"/>
  <c r="F737" i="41" s="1"/>
  <c r="C1221" i="41"/>
  <c r="D1221" i="41" s="1"/>
  <c r="C773" i="41"/>
  <c r="D773" i="41" s="1"/>
  <c r="E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E819" i="41" s="1"/>
  <c r="C1292" i="41"/>
  <c r="D1292" i="41" s="1"/>
  <c r="C884" i="41"/>
  <c r="D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E808" i="41" s="1"/>
  <c r="C1297" i="41"/>
  <c r="D1297" i="41" s="1"/>
  <c r="C763" i="41"/>
  <c r="D763" i="41" s="1"/>
  <c r="F763" i="41" s="1"/>
  <c r="C1320" i="41"/>
  <c r="D1320" i="41" s="1"/>
  <c r="E1320" i="41" s="1"/>
  <c r="C1218" i="41"/>
  <c r="D1218" i="41" s="1"/>
  <c r="C1132" i="41"/>
  <c r="D1132" i="41" s="1"/>
  <c r="C880" i="41"/>
  <c r="D880" i="41" s="1"/>
  <c r="E880" i="41" s="1"/>
  <c r="C1206" i="41"/>
  <c r="D1206" i="41" s="1"/>
  <c r="C1134" i="41"/>
  <c r="D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E1146" i="41" s="1"/>
  <c r="C908" i="41"/>
  <c r="D908" i="41" s="1"/>
  <c r="C1200" i="41"/>
  <c r="D1200" i="41" s="1"/>
  <c r="C1121" i="41"/>
  <c r="D1121" i="41" s="1"/>
  <c r="E1121" i="41" s="1"/>
  <c r="C1156" i="41"/>
  <c r="D1156" i="41" s="1"/>
  <c r="E1156" i="41" s="1"/>
  <c r="C904" i="41"/>
  <c r="D904" i="41" s="1"/>
  <c r="C1164" i="41"/>
  <c r="D1164" i="41" s="1"/>
  <c r="E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C934" i="41"/>
  <c r="D934" i="41" s="1"/>
  <c r="E934" i="41" s="1"/>
  <c r="C864" i="41"/>
  <c r="D864" i="41" s="1"/>
  <c r="E864" i="41" s="1"/>
  <c r="C876" i="41"/>
  <c r="D876" i="41" s="1"/>
  <c r="C1083" i="41"/>
  <c r="D1083" i="41" s="1"/>
  <c r="C1037" i="41"/>
  <c r="D1037" i="41" s="1"/>
  <c r="E1037" i="41" s="1"/>
  <c r="C729" i="41"/>
  <c r="D729" i="41" s="1"/>
  <c r="E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E782" i="41" s="1"/>
  <c r="C982" i="41"/>
  <c r="D982" i="41" s="1"/>
  <c r="E982" i="41" s="1"/>
  <c r="C1016" i="41"/>
  <c r="D1016" i="41" s="1"/>
  <c r="C722" i="41"/>
  <c r="D722" i="41" s="1"/>
  <c r="E722" i="41" s="1"/>
  <c r="C1259" i="41"/>
  <c r="D1259" i="41" s="1"/>
  <c r="C1090" i="41"/>
  <c r="D1090" i="41" s="1"/>
  <c r="C790" i="41"/>
  <c r="D790" i="41" s="1"/>
  <c r="E790" i="41" s="1"/>
  <c r="C883" i="41"/>
  <c r="D883" i="41" s="1"/>
  <c r="C1158" i="41"/>
  <c r="D1158" i="41" s="1"/>
  <c r="E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E1166" i="41" s="1"/>
  <c r="C1019" i="41"/>
  <c r="D1019" i="41" s="1"/>
  <c r="C981" i="41"/>
  <c r="D981" i="41" s="1"/>
  <c r="E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D1318" i="41" s="1"/>
  <c r="C953" i="41"/>
  <c r="D953" i="41" s="1"/>
  <c r="E953" i="41" s="1"/>
  <c r="C854" i="41"/>
  <c r="D854" i="41" s="1"/>
  <c r="C893" i="41"/>
  <c r="D893" i="41" s="1"/>
  <c r="E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C886" i="41"/>
  <c r="D886" i="41" s="1"/>
  <c r="E886" i="41" s="1"/>
  <c r="C1076" i="41"/>
  <c r="D1076" i="41" s="1"/>
  <c r="E1076" i="41" s="1"/>
  <c r="C1111" i="41"/>
  <c r="D1111" i="41" s="1"/>
  <c r="C889" i="41"/>
  <c r="D889" i="41" s="1"/>
  <c r="E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E1133" i="41" s="1"/>
  <c r="C1043" i="41"/>
  <c r="D1043" i="41" s="1"/>
  <c r="C783" i="41"/>
  <c r="D783" i="41" s="1"/>
  <c r="E783" i="41" s="1"/>
  <c r="C807" i="41"/>
  <c r="D807" i="41" s="1"/>
  <c r="C1211" i="41"/>
  <c r="D1211" i="41" s="1"/>
  <c r="C881" i="41"/>
  <c r="D881" i="41" s="1"/>
  <c r="C965" i="41"/>
  <c r="D965" i="41" s="1"/>
  <c r="E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C919" i="41"/>
  <c r="D919" i="41" s="1"/>
  <c r="E919" i="41" s="1"/>
  <c r="C1092" i="41"/>
  <c r="D1092" i="41" s="1"/>
  <c r="C1286" i="41"/>
  <c r="D1286" i="41" s="1"/>
  <c r="E1286" i="41" s="1"/>
  <c r="C1262" i="41"/>
  <c r="D1262" i="41" s="1"/>
  <c r="C918" i="41"/>
  <c r="D918" i="41" s="1"/>
  <c r="C1137" i="41"/>
  <c r="D1137" i="41" s="1"/>
  <c r="E1137" i="41" s="1"/>
  <c r="C1179" i="41"/>
  <c r="D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D1304" i="41" s="1"/>
  <c r="E1304" i="41" s="1"/>
  <c r="C978" i="41"/>
  <c r="D978" i="41" s="1"/>
  <c r="E978" i="41" s="1"/>
  <c r="C1244" i="41"/>
  <c r="D1244" i="41" s="1"/>
  <c r="E1244" i="41" s="1"/>
  <c r="C1047" i="41"/>
  <c r="D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E977" i="41" s="1"/>
  <c r="C954" i="41"/>
  <c r="D954" i="41" s="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F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J91" i="11" l="1"/>
  <c r="H91" i="11"/>
  <c r="I91" i="11"/>
  <c r="I93" i="11"/>
  <c r="H93" i="11"/>
  <c r="J93" i="11"/>
  <c r="J95" i="11"/>
  <c r="H95" i="11"/>
  <c r="I95" i="11"/>
  <c r="I97" i="11"/>
  <c r="H97" i="11"/>
  <c r="J97" i="11"/>
  <c r="H99" i="11"/>
  <c r="I99" i="11"/>
  <c r="J99" i="11"/>
  <c r="I101" i="11"/>
  <c r="J101" i="11"/>
  <c r="H101" i="11"/>
  <c r="H103" i="11"/>
  <c r="I103" i="11"/>
  <c r="J103" i="11"/>
  <c r="I105" i="11"/>
  <c r="J105" i="11"/>
  <c r="H105" i="11"/>
  <c r="H107" i="11"/>
  <c r="I107" i="11"/>
  <c r="J107" i="11"/>
  <c r="I109" i="11"/>
  <c r="J109" i="11"/>
  <c r="H109" i="11"/>
  <c r="H111" i="11"/>
  <c r="I111" i="11"/>
  <c r="J111" i="11"/>
  <c r="J92" i="11"/>
  <c r="I92" i="11"/>
  <c r="H92" i="11"/>
  <c r="H94" i="11"/>
  <c r="I94" i="11"/>
  <c r="J94" i="11"/>
  <c r="J96" i="11"/>
  <c r="I96" i="11"/>
  <c r="H96" i="11"/>
  <c r="H98" i="11"/>
  <c r="I98" i="11"/>
  <c r="J98" i="11"/>
  <c r="J100" i="11"/>
  <c r="H100" i="11"/>
  <c r="I100" i="11"/>
  <c r="H102" i="11"/>
  <c r="I102" i="11"/>
  <c r="J102" i="11"/>
  <c r="J104" i="11"/>
  <c r="H104" i="11"/>
  <c r="I104" i="11"/>
  <c r="H106" i="11"/>
  <c r="I106" i="11"/>
  <c r="J106" i="11"/>
  <c r="J108" i="11"/>
  <c r="H108" i="11"/>
  <c r="I108" i="11"/>
  <c r="H110" i="11"/>
  <c r="I110" i="11"/>
  <c r="J110" i="11"/>
  <c r="J112" i="11"/>
  <c r="H112" i="11"/>
  <c r="I112" i="11"/>
  <c r="H19" i="11"/>
  <c r="J19" i="11"/>
  <c r="I19" i="11"/>
  <c r="H15" i="11"/>
  <c r="I15" i="11"/>
  <c r="J15" i="11"/>
  <c r="H18" i="11"/>
  <c r="I18" i="11"/>
  <c r="J18" i="11"/>
  <c r="J16" i="11"/>
  <c r="H16" i="11"/>
  <c r="I16" i="11"/>
  <c r="D312" i="29"/>
  <c r="E312" i="29" s="1"/>
  <c r="D802" i="41"/>
  <c r="E802" i="41" s="1"/>
  <c r="D22" i="59"/>
  <c r="K8" i="60" s="1"/>
  <c r="D21" i="59"/>
  <c r="M127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M128" i="11"/>
  <c r="M129" i="11"/>
  <c r="M131" i="11"/>
  <c r="M130" i="11"/>
  <c r="E776" i="41"/>
  <c r="E272" i="29"/>
  <c r="F717" i="41"/>
  <c r="F291" i="29"/>
  <c r="E788" i="41"/>
  <c r="E321" i="29"/>
  <c r="E1144" i="41"/>
  <c r="E1194" i="41"/>
  <c r="E856" i="41"/>
  <c r="E1267" i="41"/>
  <c r="E753" i="41"/>
  <c r="E1205" i="41"/>
  <c r="E903" i="41"/>
  <c r="F296" i="29"/>
  <c r="E1234" i="41"/>
  <c r="E1022" i="41"/>
  <c r="F764" i="41"/>
  <c r="E946" i="41"/>
  <c r="E62" i="39"/>
  <c r="E1255" i="41"/>
  <c r="F792" i="41"/>
  <c r="E761" i="41"/>
  <c r="E1188" i="41"/>
  <c r="E945" i="41"/>
  <c r="E877" i="41"/>
  <c r="E733" i="41"/>
  <c r="E1155" i="41"/>
  <c r="E1254" i="41"/>
  <c r="E842" i="41"/>
  <c r="E834" i="41"/>
  <c r="F857" i="41"/>
  <c r="E1191" i="41"/>
  <c r="E1040" i="41"/>
  <c r="E1102" i="41"/>
  <c r="E1030" i="41"/>
  <c r="E268" i="29"/>
  <c r="F232" i="29"/>
  <c r="F301" i="29"/>
  <c r="E1201" i="41"/>
  <c r="E1055" i="41"/>
  <c r="E1315" i="41"/>
  <c r="E1066" i="41"/>
  <c r="E1165" i="41"/>
  <c r="F811" i="41"/>
  <c r="F757" i="41"/>
  <c r="E1259" i="41"/>
  <c r="E1048" i="41"/>
  <c r="E1170" i="41"/>
  <c r="E1130" i="41"/>
  <c r="E1136" i="41"/>
  <c r="E813" i="41"/>
  <c r="E1106" i="41"/>
  <c r="E895" i="41"/>
  <c r="E1053" i="41"/>
  <c r="F769" i="41"/>
  <c r="E1080" i="41"/>
  <c r="E1303" i="41"/>
  <c r="E891" i="41"/>
  <c r="E955" i="41"/>
  <c r="E1306" i="41"/>
  <c r="E918" i="41"/>
  <c r="E1103" i="41"/>
  <c r="E986" i="41"/>
  <c r="F797" i="41"/>
  <c r="E1172" i="41"/>
  <c r="E1183" i="41"/>
  <c r="E984" i="41"/>
  <c r="E1147" i="41"/>
  <c r="F723" i="41"/>
  <c r="E1222" i="41"/>
  <c r="E949" i="41"/>
  <c r="F745" i="41"/>
  <c r="E850" i="41"/>
  <c r="E1012" i="41"/>
  <c r="F762" i="41"/>
  <c r="F853" i="41"/>
  <c r="E1207" i="41"/>
  <c r="E1045" i="41"/>
  <c r="E940" i="41"/>
  <c r="E1275" i="41"/>
  <c r="E887" i="41"/>
  <c r="E1250" i="41"/>
  <c r="F754" i="41"/>
  <c r="F61" i="39"/>
  <c r="E1127" i="41"/>
  <c r="E1256" i="41"/>
  <c r="F738" i="41"/>
  <c r="E1290" i="41"/>
  <c r="F743" i="41"/>
  <c r="E969" i="41"/>
  <c r="F240" i="29"/>
  <c r="F270" i="29"/>
  <c r="F826" i="41"/>
  <c r="E899" i="41"/>
  <c r="F775" i="41"/>
  <c r="E1083" i="41"/>
  <c r="E928" i="41"/>
  <c r="E1024" i="41"/>
  <c r="F773" i="41"/>
  <c r="E1074" i="41"/>
  <c r="F751" i="41"/>
  <c r="E957" i="41"/>
  <c r="F770" i="41"/>
  <c r="F225" i="29"/>
  <c r="E281" i="29"/>
  <c r="E277" i="29"/>
  <c r="H36" i="39"/>
  <c r="F866" i="41"/>
  <c r="E1029" i="41"/>
  <c r="E784" i="41"/>
  <c r="E973" i="41"/>
  <c r="F322" i="29"/>
  <c r="F250" i="29"/>
  <c r="E273" i="29"/>
  <c r="E1292" i="41"/>
  <c r="E1132" i="41"/>
  <c r="E939" i="41"/>
  <c r="E781" i="41"/>
  <c r="E818" i="41"/>
  <c r="E1203" i="41"/>
  <c r="E952" i="41"/>
  <c r="E1090" i="41"/>
  <c r="F229" i="29"/>
  <c r="F868" i="41"/>
  <c r="E1235" i="41"/>
  <c r="F851" i="41"/>
  <c r="E1288" i="41"/>
  <c r="E809" i="41"/>
  <c r="F800" i="41"/>
  <c r="E848" i="41"/>
  <c r="E1240" i="41"/>
  <c r="F736" i="41"/>
  <c r="E1273" i="41"/>
  <c r="F326" i="29"/>
  <c r="F249" i="29"/>
  <c r="E245" i="29"/>
  <c r="E905" i="41"/>
  <c r="E1168" i="41"/>
  <c r="E1284" i="41"/>
  <c r="E1276" i="41"/>
  <c r="E805" i="41"/>
  <c r="F772" i="41"/>
  <c r="F795" i="41"/>
  <c r="F719" i="41"/>
  <c r="E799" i="41"/>
  <c r="F727" i="41"/>
  <c r="F308" i="29"/>
  <c r="E265" i="29"/>
  <c r="F235" i="29"/>
  <c r="E243" i="29"/>
  <c r="I14" i="11"/>
  <c r="E1153" i="41"/>
  <c r="E244" i="29"/>
  <c r="F244" i="29"/>
  <c r="E1071" i="41"/>
  <c r="E912" i="41"/>
  <c r="E920" i="41"/>
  <c r="F731" i="41"/>
  <c r="F747" i="41"/>
  <c r="F831" i="41"/>
  <c r="E1001" i="41"/>
  <c r="E989" i="41"/>
  <c r="E1212" i="41"/>
  <c r="E926" i="41"/>
  <c r="E771" i="41"/>
  <c r="E801" i="41"/>
  <c r="F730" i="41"/>
  <c r="E740" i="41"/>
  <c r="E1021" i="41"/>
  <c r="E830" i="41"/>
  <c r="E364" i="29"/>
  <c r="E68" i="39"/>
  <c r="F864" i="41"/>
  <c r="E1199" i="41"/>
  <c r="E1035" i="41"/>
  <c r="E1182" i="41"/>
  <c r="E1016" i="41"/>
  <c r="E791" i="41"/>
  <c r="F849" i="41"/>
  <c r="F858" i="41"/>
  <c r="F774" i="41"/>
  <c r="E798" i="41"/>
  <c r="E735" i="41"/>
  <c r="E1114" i="41"/>
  <c r="F860" i="41"/>
  <c r="F863" i="41"/>
  <c r="F862" i="41"/>
  <c r="E734" i="41"/>
  <c r="E1278" i="41"/>
  <c r="E852" i="41"/>
  <c r="F304" i="29"/>
  <c r="E1134" i="41"/>
  <c r="E1163" i="41"/>
  <c r="E878" i="41"/>
  <c r="F746" i="41"/>
  <c r="E746" i="41"/>
  <c r="E1110" i="41"/>
  <c r="E1180" i="41"/>
  <c r="E238" i="29"/>
  <c r="F238" i="29"/>
  <c r="F269" i="29"/>
  <c r="E269" i="29"/>
  <c r="F307" i="29"/>
  <c r="E307" i="29"/>
  <c r="E294" i="29"/>
  <c r="E302" i="29"/>
  <c r="F302" i="29"/>
  <c r="E305" i="29"/>
  <c r="F305" i="29"/>
  <c r="E275" i="29"/>
  <c r="F275" i="29"/>
  <c r="E947" i="41"/>
  <c r="E787" i="41"/>
  <c r="E930" i="41"/>
  <c r="E1028" i="41"/>
  <c r="E1289" i="41"/>
  <c r="F728" i="41"/>
  <c r="F758" i="41"/>
  <c r="E999" i="41"/>
  <c r="E931" i="41"/>
  <c r="E1204" i="41"/>
  <c r="E724" i="41"/>
  <c r="F844" i="41"/>
  <c r="E881" i="41"/>
  <c r="E925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E1200" i="41"/>
  <c r="F715" i="41"/>
  <c r="E715" i="41"/>
  <c r="E720" i="41"/>
  <c r="F231" i="29"/>
  <c r="E282" i="29"/>
  <c r="F806" i="41"/>
  <c r="E1081" i="41"/>
  <c r="E1027" i="41"/>
  <c r="F861" i="41"/>
  <c r="E861" i="41"/>
  <c r="E230" i="29"/>
  <c r="E346" i="29"/>
  <c r="E274" i="29"/>
  <c r="F274" i="29"/>
  <c r="H137" i="11"/>
  <c r="J137" i="11"/>
  <c r="E340" i="29"/>
  <c r="F821" i="41"/>
  <c r="F807" i="41"/>
  <c r="E807" i="41"/>
  <c r="E979" i="41"/>
  <c r="E1237" i="41"/>
  <c r="E1301" i="41"/>
  <c r="F752" i="41"/>
  <c r="E752" i="41"/>
  <c r="E794" i="41"/>
  <c r="F794" i="41"/>
  <c r="E1281" i="41"/>
  <c r="E366" i="29"/>
  <c r="E313" i="29"/>
  <c r="E266" i="29"/>
  <c r="F266" i="29"/>
  <c r="F306" i="29"/>
  <c r="E306" i="29"/>
  <c r="E246" i="29"/>
  <c r="F246" i="29"/>
  <c r="E293" i="29"/>
  <c r="E1293" i="41"/>
  <c r="E1220" i="41"/>
  <c r="F855" i="41"/>
  <c r="F732" i="41"/>
  <c r="E1242" i="41"/>
  <c r="E1084" i="41"/>
  <c r="E1124" i="41"/>
  <c r="F828" i="41"/>
  <c r="E828" i="41"/>
  <c r="F755" i="41"/>
  <c r="E755" i="41"/>
  <c r="E1249" i="41"/>
  <c r="E1305" i="41"/>
  <c r="E998" i="41"/>
  <c r="E1017" i="41"/>
  <c r="F832" i="41"/>
  <c r="E832" i="41"/>
  <c r="E914" i="41"/>
  <c r="F361" i="29"/>
  <c r="E361" i="29"/>
  <c r="E334" i="29"/>
  <c r="E278" i="29"/>
  <c r="F278" i="29"/>
  <c r="F317" i="29"/>
  <c r="E317" i="29"/>
  <c r="E1218" i="41"/>
  <c r="E827" i="41"/>
  <c r="E1101" i="41"/>
  <c r="E1283" i="41"/>
  <c r="E1253" i="41"/>
  <c r="F865" i="41"/>
  <c r="E865" i="41"/>
  <c r="E950" i="41"/>
  <c r="E1296" i="41"/>
  <c r="E1224" i="41"/>
  <c r="E744" i="41"/>
  <c r="F744" i="41"/>
  <c r="E259" i="29"/>
  <c r="F259" i="29"/>
  <c r="F808" i="41"/>
  <c r="E936" i="41"/>
  <c r="F759" i="41"/>
  <c r="E737" i="41"/>
  <c r="E1148" i="41"/>
  <c r="E1214" i="41"/>
  <c r="E1019" i="41"/>
  <c r="E976" i="41"/>
  <c r="E908" i="41"/>
  <c r="E892" i="41"/>
  <c r="E1206" i="41"/>
  <c r="E1313" i="41"/>
  <c r="E1064" i="41"/>
  <c r="E996" i="41"/>
  <c r="E1014" i="41"/>
  <c r="E804" i="41"/>
  <c r="E1160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J14" i="11"/>
  <c r="E1149" i="41"/>
  <c r="F833" i="41"/>
  <c r="F816" i="41"/>
  <c r="F786" i="41"/>
  <c r="E1198" i="41"/>
  <c r="F768" i="41"/>
  <c r="E1118" i="41"/>
  <c r="E1295" i="41"/>
  <c r="E803" i="41"/>
  <c r="E1179" i="41"/>
  <c r="E859" i="41"/>
  <c r="E815" i="41"/>
  <c r="F756" i="41"/>
  <c r="E1058" i="41"/>
  <c r="E1056" i="41"/>
  <c r="F779" i="41"/>
  <c r="F331" i="29"/>
  <c r="E267" i="29"/>
  <c r="E1042" i="41"/>
  <c r="E1241" i="41"/>
  <c r="E1312" i="41"/>
  <c r="E1262" i="41"/>
  <c r="E1233" i="41"/>
  <c r="E1318" i="41"/>
  <c r="F722" i="41"/>
  <c r="E1271" i="41"/>
  <c r="E954" i="41"/>
  <c r="E1193" i="41"/>
  <c r="E972" i="41"/>
  <c r="E1088" i="41"/>
  <c r="E1067" i="41"/>
  <c r="E1011" i="41"/>
  <c r="E1173" i="41"/>
  <c r="E1122" i="41"/>
  <c r="E1140" i="41"/>
  <c r="E1092" i="41"/>
  <c r="E1119" i="41"/>
  <c r="E1139" i="41"/>
  <c r="E854" i="41"/>
  <c r="E1006" i="41"/>
  <c r="E1154" i="41"/>
  <c r="E1189" i="41"/>
  <c r="E750" i="41"/>
  <c r="F750" i="41"/>
  <c r="E1263" i="41"/>
  <c r="E961" i="41"/>
  <c r="E765" i="41"/>
  <c r="F765" i="41"/>
  <c r="E1063" i="41"/>
  <c r="E1294" i="41"/>
  <c r="E1018" i="41"/>
  <c r="E1077" i="41"/>
  <c r="E1266" i="41"/>
  <c r="E1007" i="41"/>
  <c r="E847" i="41"/>
  <c r="E1041" i="41"/>
  <c r="E1013" i="41"/>
  <c r="E742" i="41"/>
  <c r="E749" i="41"/>
  <c r="E1003" i="41"/>
  <c r="E785" i="41"/>
  <c r="E1047" i="41"/>
  <c r="E1211" i="41"/>
  <c r="E1043" i="41"/>
  <c r="E839" i="41"/>
  <c r="F839" i="41"/>
  <c r="E1020" i="41"/>
  <c r="E876" i="41"/>
  <c r="E1297" i="41"/>
  <c r="E1245" i="41"/>
  <c r="E943" i="41"/>
  <c r="E884" i="41"/>
  <c r="E1202" i="41"/>
  <c r="E1221" i="41"/>
  <c r="E1126" i="41"/>
  <c r="E867" i="41"/>
  <c r="F867" i="41"/>
  <c r="E890" i="41"/>
  <c r="E1178" i="41"/>
  <c r="E883" i="41"/>
  <c r="E1033" i="41"/>
  <c r="E726" i="41"/>
  <c r="F726" i="41"/>
  <c r="E1026" i="41"/>
  <c r="E1117" i="41"/>
  <c r="E1125" i="41"/>
  <c r="E1269" i="41"/>
  <c r="E869" i="41"/>
  <c r="E985" i="41"/>
  <c r="E354" i="29"/>
  <c r="F354" i="29"/>
  <c r="E327" i="29"/>
  <c r="E336" i="29"/>
  <c r="F336" i="29"/>
  <c r="E357" i="29"/>
  <c r="F329" i="29"/>
  <c r="E359" i="29"/>
  <c r="F342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369" i="29"/>
  <c r="E253" i="29"/>
  <c r="E271" i="29"/>
  <c r="F271" i="29"/>
  <c r="E287" i="29"/>
  <c r="F287" i="29"/>
  <c r="E348" i="29"/>
  <c r="E59" i="39"/>
  <c r="E290" i="29"/>
  <c r="F323" i="29"/>
  <c r="E260" i="29"/>
  <c r="E236" i="29"/>
  <c r="E73" i="39"/>
  <c r="E341" i="29"/>
  <c r="F341" i="29"/>
  <c r="E284" i="29"/>
  <c r="F233" i="29"/>
  <c r="E58" i="39"/>
  <c r="F319" i="29"/>
  <c r="F310" i="29"/>
  <c r="M125" i="11"/>
  <c r="E725" i="41"/>
  <c r="F725" i="41"/>
  <c r="E777" i="41"/>
  <c r="F777" i="41"/>
  <c r="E1291" i="41"/>
  <c r="E1143" i="41"/>
  <c r="E1111" i="41"/>
  <c r="F820" i="41"/>
  <c r="E820" i="41"/>
  <c r="E1246" i="41"/>
  <c r="E937" i="41"/>
  <c r="E904" i="41"/>
  <c r="E1161" i="41"/>
  <c r="E812" i="41"/>
  <c r="F843" i="41"/>
  <c r="E763" i="41"/>
  <c r="F760" i="41"/>
  <c r="E362" i="29"/>
  <c r="F362" i="29"/>
  <c r="E347" i="29"/>
  <c r="E371" i="29"/>
  <c r="E67" i="39"/>
  <c r="E714" i="41"/>
  <c r="E65" i="39"/>
  <c r="E365" i="2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F288" i="29"/>
  <c r="E288" i="29"/>
  <c r="E256" i="29"/>
  <c r="F256" i="29"/>
  <c r="F247" i="29"/>
  <c r="E247" i="29"/>
  <c r="E75" i="39"/>
  <c r="E283" i="29"/>
  <c r="F283" i="29"/>
  <c r="E368" i="29"/>
  <c r="E72" i="39"/>
  <c r="F262" i="29"/>
  <c r="F289" i="29"/>
  <c r="F309" i="29"/>
  <c r="E309" i="29"/>
  <c r="E370" i="29"/>
  <c r="E76" i="39"/>
  <c r="E64" i="39"/>
  <c r="E325" i="29"/>
  <c r="F349" i="29"/>
  <c r="E349" i="29"/>
  <c r="E71" i="39"/>
  <c r="E74" i="3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I137" i="11"/>
  <c r="I135" i="11"/>
  <c r="H135" i="11"/>
  <c r="F784" i="41" l="1"/>
  <c r="F294" i="29"/>
  <c r="F830" i="41"/>
  <c r="F340" i="29"/>
  <c r="K91" i="11"/>
  <c r="K109" i="11"/>
  <c r="K99" i="11"/>
  <c r="K92" i="11"/>
  <c r="M92" i="11" s="1"/>
  <c r="K105" i="11"/>
  <c r="M105" i="11" s="1"/>
  <c r="K95" i="11"/>
  <c r="M95" i="11" s="1"/>
  <c r="K108" i="11"/>
  <c r="M108" i="11" s="1"/>
  <c r="K106" i="11"/>
  <c r="M106" i="11" s="1"/>
  <c r="K100" i="11"/>
  <c r="M100" i="11" s="1"/>
  <c r="K98" i="11"/>
  <c r="M98" i="11" s="1"/>
  <c r="K111" i="11"/>
  <c r="M111" i="11" s="1"/>
  <c r="K103" i="11"/>
  <c r="M103" i="11" s="1"/>
  <c r="K97" i="11"/>
  <c r="M97" i="11" s="1"/>
  <c r="K96" i="11"/>
  <c r="M96" i="11" s="1"/>
  <c r="K101" i="11"/>
  <c r="K112" i="11"/>
  <c r="M112" i="11" s="1"/>
  <c r="K110" i="11"/>
  <c r="M110" i="11" s="1"/>
  <c r="K104" i="11"/>
  <c r="M104" i="11" s="1"/>
  <c r="K102" i="11"/>
  <c r="M102" i="11" s="1"/>
  <c r="K94" i="11"/>
  <c r="M94" i="11" s="1"/>
  <c r="K107" i="11"/>
  <c r="M107" i="11" s="1"/>
  <c r="K93" i="11"/>
  <c r="F789" i="41"/>
  <c r="F315" i="29"/>
  <c r="F805" i="41"/>
  <c r="F299" i="29"/>
  <c r="F790" i="41"/>
  <c r="F300" i="29"/>
  <c r="F845" i="41"/>
  <c r="F814" i="41"/>
  <c r="F324" i="29"/>
  <c r="F355" i="29"/>
  <c r="F810" i="41"/>
  <c r="F320" i="29"/>
  <c r="K19" i="11"/>
  <c r="F783" i="41"/>
  <c r="F293" i="29"/>
  <c r="F838" i="41"/>
  <c r="F348" i="29"/>
  <c r="F718" i="41"/>
  <c r="F351" i="29"/>
  <c r="F841" i="41"/>
  <c r="F290" i="29"/>
  <c r="F780" i="41"/>
  <c r="F347" i="29"/>
  <c r="F782" i="41"/>
  <c r="F837" i="41"/>
  <c r="F292" i="29"/>
  <c r="F228" i="29"/>
  <c r="F803" i="41"/>
  <c r="F313" i="29"/>
  <c r="F847" i="41"/>
  <c r="F785" i="41"/>
  <c r="F854" i="41"/>
  <c r="F295" i="29"/>
  <c r="F357" i="29"/>
  <c r="F720" i="41"/>
  <c r="F230" i="29"/>
  <c r="F75" i="39"/>
  <c r="F71" i="39"/>
  <c r="F64" i="39"/>
  <c r="F824" i="41"/>
  <c r="F334" i="29"/>
  <c r="M118" i="11"/>
  <c r="F74" i="39"/>
  <c r="F961" i="41"/>
  <c r="F368" i="29"/>
  <c r="F76" i="39"/>
  <c r="F1279" i="41"/>
  <c r="F68" i="39"/>
  <c r="F69" i="39"/>
  <c r="F1063" i="41"/>
  <c r="F1311" i="41"/>
  <c r="F1138" i="41"/>
  <c r="F1133" i="41"/>
  <c r="F958" i="41"/>
  <c r="F1297" i="41"/>
  <c r="F1047" i="41"/>
  <c r="K15" i="11"/>
  <c r="K16" i="11"/>
  <c r="F817" i="41"/>
  <c r="F822" i="41"/>
  <c r="F332" i="29"/>
  <c r="F804" i="41"/>
  <c r="F314" i="29"/>
  <c r="K18" i="11"/>
  <c r="M18" i="11" s="1"/>
  <c r="F327" i="29"/>
  <c r="F59" i="39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F60" i="39"/>
  <c r="D9" i="59"/>
  <c r="K7" i="54" s="1"/>
  <c r="C7" i="54"/>
  <c r="C8" i="54"/>
  <c r="K14" i="11"/>
  <c r="M14" i="11" s="1"/>
  <c r="M19" i="11"/>
  <c r="M134" i="11"/>
  <c r="K137" i="11"/>
  <c r="M113" i="11"/>
  <c r="F350" i="29"/>
  <c r="M109" i="11"/>
  <c r="K135" i="11"/>
  <c r="H136" i="11"/>
  <c r="H139" i="11" s="1"/>
  <c r="F312" i="29"/>
  <c r="F339" i="29"/>
  <c r="F226" i="29"/>
  <c r="F345" i="29"/>
  <c r="F239" i="29"/>
  <c r="I136" i="11"/>
  <c r="I139" i="11" s="1"/>
  <c r="J136" i="11"/>
  <c r="J139" i="11" s="1"/>
  <c r="M101" i="11"/>
  <c r="M93" i="11"/>
  <c r="M99" i="11"/>
  <c r="F716" i="41"/>
  <c r="F840" i="41"/>
  <c r="F835" i="41"/>
  <c r="F729" i="41"/>
  <c r="F802" i="41"/>
  <c r="F829" i="41"/>
  <c r="F17" i="39" l="1"/>
  <c r="C16" i="39"/>
  <c r="F16" i="39"/>
  <c r="C30" i="39"/>
  <c r="G30" i="39" s="1"/>
  <c r="C17" i="39"/>
  <c r="B17" i="39" s="1"/>
  <c r="E17" i="39" s="1"/>
  <c r="C21" i="39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D19" i="39" s="1"/>
  <c r="C26" i="39"/>
  <c r="F21" i="39"/>
  <c r="C29" i="39"/>
  <c r="B29" i="39" s="1"/>
  <c r="E29" i="39" s="1"/>
  <c r="C32" i="39"/>
  <c r="D32" i="39" s="1"/>
  <c r="F23" i="39"/>
  <c r="F18" i="39"/>
  <c r="C18" i="39"/>
  <c r="D18" i="39" s="1"/>
  <c r="F28" i="39"/>
  <c r="F26" i="39"/>
  <c r="F22" i="39"/>
  <c r="F35" i="39"/>
  <c r="C34" i="39"/>
  <c r="G34" i="39" s="1"/>
  <c r="F19" i="39"/>
  <c r="C25" i="39"/>
  <c r="B25" i="39" s="1"/>
  <c r="E25" i="39" s="1"/>
  <c r="C33" i="39"/>
  <c r="G33" i="39" s="1"/>
  <c r="F20" i="39"/>
  <c r="C23" i="39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8" i="29"/>
  <c r="B18" i="29" s="1"/>
  <c r="E18" i="29" s="1"/>
  <c r="F38" i="29"/>
  <c r="C135" i="29"/>
  <c r="D135" i="29" s="1"/>
  <c r="F93" i="29"/>
  <c r="F90" i="29"/>
  <c r="C71" i="29"/>
  <c r="D71" i="29" s="1"/>
  <c r="C82" i="29"/>
  <c r="G82" i="29" s="1"/>
  <c r="F42" i="29"/>
  <c r="C158" i="29"/>
  <c r="D158" i="29" s="1"/>
  <c r="F51" i="29"/>
  <c r="C92" i="29"/>
  <c r="B92" i="29" s="1"/>
  <c r="E92" i="29" s="1"/>
  <c r="C133" i="29"/>
  <c r="D133" i="29" s="1"/>
  <c r="F126" i="29"/>
  <c r="C87" i="29"/>
  <c r="B87" i="29" s="1"/>
  <c r="E87" i="29" s="1"/>
  <c r="F137" i="29"/>
  <c r="C33" i="29"/>
  <c r="D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B115" i="29" s="1"/>
  <c r="E115" i="29" s="1"/>
  <c r="F20" i="29"/>
  <c r="C17" i="29"/>
  <c r="G17" i="29" s="1"/>
  <c r="F139" i="29"/>
  <c r="C143" i="29"/>
  <c r="B143" i="29" s="1"/>
  <c r="E143" i="29" s="1"/>
  <c r="C132" i="29"/>
  <c r="G132" i="29" s="1"/>
  <c r="C163" i="29"/>
  <c r="G163" i="29" s="1"/>
  <c r="C79" i="29"/>
  <c r="G79" i="29" s="1"/>
  <c r="C58" i="29"/>
  <c r="B58" i="29" s="1"/>
  <c r="E58" i="29" s="1"/>
  <c r="F34" i="29"/>
  <c r="F144" i="29"/>
  <c r="C36" i="29"/>
  <c r="G36" i="29" s="1"/>
  <c r="C112" i="29"/>
  <c r="D112" i="29" s="1"/>
  <c r="C80" i="29"/>
  <c r="G80" i="29" s="1"/>
  <c r="F18" i="29"/>
  <c r="C68" i="29"/>
  <c r="B68" i="29" s="1"/>
  <c r="E68" i="29" s="1"/>
  <c r="C122" i="29"/>
  <c r="B122" i="29" s="1"/>
  <c r="E122" i="29" s="1"/>
  <c r="C94" i="29"/>
  <c r="B94" i="29" s="1"/>
  <c r="E94" i="29" s="1"/>
  <c r="F128" i="29"/>
  <c r="F28" i="29"/>
  <c r="C90" i="29"/>
  <c r="B90" i="29" s="1"/>
  <c r="E90" i="29" s="1"/>
  <c r="F59" i="29"/>
  <c r="F85" i="29"/>
  <c r="C37" i="29"/>
  <c r="G37" i="29" s="1"/>
  <c r="F165" i="29"/>
  <c r="F249" i="41"/>
  <c r="F133" i="29"/>
  <c r="C67" i="29"/>
  <c r="B67" i="29" s="1"/>
  <c r="E67" i="29" s="1"/>
  <c r="F29" i="29"/>
  <c r="C113" i="29"/>
  <c r="G113" i="29" s="1"/>
  <c r="C134" i="29"/>
  <c r="G134" i="29" s="1"/>
  <c r="F53" i="29"/>
  <c r="F2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C22" i="29"/>
  <c r="D22" i="29" s="1"/>
  <c r="C32" i="29"/>
  <c r="G32" i="29" s="1"/>
  <c r="C157" i="29"/>
  <c r="B157" i="29" s="1"/>
  <c r="E157" i="29" s="1"/>
  <c r="C124" i="29"/>
  <c r="G124" i="29" s="1"/>
  <c r="F130" i="29"/>
  <c r="C25" i="29"/>
  <c r="D25" i="29" s="1"/>
  <c r="F124" i="29"/>
  <c r="C160" i="29"/>
  <c r="D160" i="29" s="1"/>
  <c r="C100" i="29"/>
  <c r="D100" i="29" s="1"/>
  <c r="F58" i="29"/>
  <c r="F109" i="29"/>
  <c r="C65" i="29"/>
  <c r="D65" i="29" s="1"/>
  <c r="C66" i="29"/>
  <c r="B66" i="29" s="1"/>
  <c r="E66" i="29" s="1"/>
  <c r="F88" i="29"/>
  <c r="F19" i="29"/>
  <c r="C85" i="29"/>
  <c r="B85" i="29" s="1"/>
  <c r="E85" i="29" s="1"/>
  <c r="C111" i="29"/>
  <c r="B111" i="29" s="1"/>
  <c r="E111" i="29" s="1"/>
  <c r="C54" i="29"/>
  <c r="D54" i="29" s="1"/>
  <c r="F108" i="29"/>
  <c r="C77" i="29"/>
  <c r="D77" i="29" s="1"/>
  <c r="C23" i="29"/>
  <c r="D23" i="29" s="1"/>
  <c r="C69" i="29"/>
  <c r="D69" i="29" s="1"/>
  <c r="C137" i="29"/>
  <c r="B137" i="29" s="1"/>
  <c r="E137" i="29" s="1"/>
  <c r="C149" i="29"/>
  <c r="G149" i="29" s="1"/>
  <c r="C81" i="29"/>
  <c r="G81" i="29" s="1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C84" i="29"/>
  <c r="G84" i="29" s="1"/>
  <c r="F22" i="29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C20" i="29"/>
  <c r="G20" i="29" s="1"/>
  <c r="C42" i="29"/>
  <c r="G42" i="29" s="1"/>
  <c r="C107" i="29"/>
  <c r="D107" i="29" s="1"/>
  <c r="F32" i="29"/>
  <c r="F44" i="29"/>
  <c r="C29" i="29"/>
  <c r="D29" i="29" s="1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C24" i="29"/>
  <c r="D24" i="29" s="1"/>
  <c r="F79" i="29"/>
  <c r="F26" i="29"/>
  <c r="F68" i="29"/>
  <c r="C35" i="29"/>
  <c r="G35" i="29" s="1"/>
  <c r="F66" i="29"/>
  <c r="C164" i="29"/>
  <c r="G164" i="29" s="1"/>
  <c r="C30" i="29"/>
  <c r="G30" i="29" s="1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34" i="29"/>
  <c r="G34" i="29" s="1"/>
  <c r="C109" i="29"/>
  <c r="G109" i="29" s="1"/>
  <c r="F163" i="29"/>
  <c r="C95" i="29"/>
  <c r="B95" i="29" s="1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C26" i="29"/>
  <c r="B26" i="29" s="1"/>
  <c r="E26" i="29" s="1"/>
  <c r="F81" i="29"/>
  <c r="C55" i="29"/>
  <c r="D55" i="29" s="1"/>
  <c r="F153" i="29"/>
  <c r="F77" i="29"/>
  <c r="F24" i="29"/>
  <c r="C31" i="29"/>
  <c r="G31" i="29" s="1"/>
  <c r="C89" i="29"/>
  <c r="D89" i="29" s="1"/>
  <c r="F135" i="29"/>
  <c r="C83" i="29"/>
  <c r="G83" i="29" s="1"/>
  <c r="F46" i="29"/>
  <c r="F102" i="29"/>
  <c r="C156" i="29"/>
  <c r="G156" i="29" s="1"/>
  <c r="C125" i="29"/>
  <c r="B125" i="29" s="1"/>
  <c r="E125" i="29" s="1"/>
  <c r="F149" i="29"/>
  <c r="C131" i="29"/>
  <c r="D131" i="29" s="1"/>
  <c r="C19" i="29"/>
  <c r="G19" i="29" s="1"/>
  <c r="C16" i="29"/>
  <c r="G16" i="29" s="1"/>
  <c r="F119" i="29"/>
  <c r="C86" i="29"/>
  <c r="B86" i="29" s="1"/>
  <c r="E86" i="29" s="1"/>
  <c r="F72" i="29"/>
  <c r="C70" i="29"/>
  <c r="G70" i="29" s="1"/>
  <c r="C75" i="29"/>
  <c r="G75" i="29" s="1"/>
  <c r="F105" i="29"/>
  <c r="F71" i="29"/>
  <c r="F30" i="29"/>
  <c r="F33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C88" i="29"/>
  <c r="G88" i="29" s="1"/>
  <c r="F31" i="29"/>
  <c r="F92" i="29"/>
  <c r="C93" i="29"/>
  <c r="G93" i="29" s="1"/>
  <c r="C116" i="29"/>
  <c r="D116" i="29" s="1"/>
  <c r="F103" i="29"/>
  <c r="F118" i="29"/>
  <c r="C136" i="29"/>
  <c r="D136" i="29" s="1"/>
  <c r="F143" i="29"/>
  <c r="C46" i="29"/>
  <c r="B46" i="29" s="1"/>
  <c r="E46" i="29" s="1"/>
  <c r="F27" i="29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C96" i="29"/>
  <c r="D96" i="29" s="1"/>
  <c r="F151" i="29"/>
  <c r="C101" i="29"/>
  <c r="D101" i="29" s="1"/>
  <c r="C130" i="29"/>
  <c r="G130" i="29" s="1"/>
  <c r="C27" i="29"/>
  <c r="B27" i="29" s="1"/>
  <c r="E27" i="29" s="1"/>
  <c r="C91" i="29"/>
  <c r="B91" i="29" s="1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21" i="29"/>
  <c r="F25" i="29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C21" i="29"/>
  <c r="D21" i="29" s="1"/>
  <c r="C28" i="29"/>
  <c r="B28" i="29" s="1"/>
  <c r="E28" i="29" s="1"/>
  <c r="F70" i="29"/>
  <c r="C162" i="29"/>
  <c r="B162" i="29" s="1"/>
  <c r="E162" i="29" s="1"/>
  <c r="F120" i="29"/>
  <c r="F35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F17" i="29"/>
  <c r="J140" i="11"/>
  <c r="J141" i="11" s="1"/>
  <c r="H140" i="11"/>
  <c r="H141" i="11" s="1"/>
  <c r="I140" i="11"/>
  <c r="I141" i="11" s="1"/>
  <c r="D31" i="39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D23" i="39"/>
  <c r="B23" i="39"/>
  <c r="E23" i="39" s="1"/>
  <c r="G23" i="39"/>
  <c r="D28" i="39"/>
  <c r="B26" i="39"/>
  <c r="E26" i="39" s="1"/>
  <c r="G26" i="39"/>
  <c r="D26" i="39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D21" i="39"/>
  <c r="B21" i="39"/>
  <c r="E21" i="39" s="1"/>
  <c r="G21" i="3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M15" i="11"/>
  <c r="K136" i="11"/>
  <c r="K139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D67" i="29" l="1"/>
  <c r="D106" i="29"/>
  <c r="J106" i="29" s="1"/>
  <c r="D68" i="29"/>
  <c r="H68" i="29" s="1"/>
  <c r="G25" i="39"/>
  <c r="D92" i="29"/>
  <c r="I92" i="29" s="1"/>
  <c r="B124" i="29"/>
  <c r="E124" i="29" s="1"/>
  <c r="D148" i="29"/>
  <c r="J148" i="29" s="1"/>
  <c r="D90" i="29"/>
  <c r="H90" i="29" s="1"/>
  <c r="G18" i="39"/>
  <c r="G77" i="29"/>
  <c r="I30" i="39"/>
  <c r="G133" i="29"/>
  <c r="G29" i="39"/>
  <c r="G24" i="29"/>
  <c r="H24" i="29" s="1"/>
  <c r="D124" i="29"/>
  <c r="H124" i="29" s="1"/>
  <c r="D33" i="39"/>
  <c r="J33" i="39" s="1"/>
  <c r="B112" i="29"/>
  <c r="E112" i="29" s="1"/>
  <c r="B149" i="29"/>
  <c r="E149" i="29" s="1"/>
  <c r="D85" i="29"/>
  <c r="I85" i="29" s="1"/>
  <c r="B33" i="39"/>
  <c r="E33" i="39" s="1"/>
  <c r="D115" i="29"/>
  <c r="J115" i="29" s="1"/>
  <c r="G112" i="29"/>
  <c r="D58" i="29"/>
  <c r="J58" i="29" s="1"/>
  <c r="B33" i="29"/>
  <c r="E33" i="29" s="1"/>
  <c r="G143" i="29"/>
  <c r="B18" i="39"/>
  <c r="E18" i="39" s="1"/>
  <c r="D29" i="39"/>
  <c r="I29" i="39" s="1"/>
  <c r="B28" i="39"/>
  <c r="E28" i="39" s="1"/>
  <c r="D20" i="39"/>
  <c r="J20" i="39" s="1"/>
  <c r="B38" i="29"/>
  <c r="E38" i="29" s="1"/>
  <c r="G85" i="29"/>
  <c r="G115" i="29"/>
  <c r="G58" i="29"/>
  <c r="D122" i="29"/>
  <c r="I122" i="29" s="1"/>
  <c r="D143" i="29"/>
  <c r="H143" i="29" s="1"/>
  <c r="G20" i="39"/>
  <c r="G74" i="29"/>
  <c r="D35" i="29"/>
  <c r="H35" i="29" s="1"/>
  <c r="B77" i="29"/>
  <c r="E77" i="29" s="1"/>
  <c r="B65" i="29"/>
  <c r="E65" i="29" s="1"/>
  <c r="B160" i="29"/>
  <c r="E160" i="29" s="1"/>
  <c r="B133" i="29"/>
  <c r="E133" i="29" s="1"/>
  <c r="G122" i="29"/>
  <c r="D132" i="29"/>
  <c r="J132" i="29" s="1"/>
  <c r="G32" i="39"/>
  <c r="D18" i="29"/>
  <c r="I18" i="29" s="1"/>
  <c r="G66" i="29"/>
  <c r="G105" i="29"/>
  <c r="D24" i="39"/>
  <c r="J24" i="39" s="1"/>
  <c r="G17" i="39"/>
  <c r="B97" i="29"/>
  <c r="E97" i="29" s="1"/>
  <c r="D19" i="29"/>
  <c r="I19" i="29" s="1"/>
  <c r="G104" i="29"/>
  <c r="D20" i="29"/>
  <c r="H20" i="29" s="1"/>
  <c r="G26" i="29"/>
  <c r="G24" i="39"/>
  <c r="G22" i="39"/>
  <c r="B114" i="29"/>
  <c r="E114" i="29" s="1"/>
  <c r="G22" i="29"/>
  <c r="H22" i="29" s="1"/>
  <c r="G19" i="39"/>
  <c r="D34" i="39"/>
  <c r="H34" i="39" s="1"/>
  <c r="D17" i="39"/>
  <c r="J17" i="39" s="1"/>
  <c r="D22" i="39"/>
  <c r="H22" i="39" s="1"/>
  <c r="G111" i="29"/>
  <c r="G18" i="29"/>
  <c r="B100" i="29"/>
  <c r="E100" i="29" s="1"/>
  <c r="D113" i="29"/>
  <c r="I113" i="29" s="1"/>
  <c r="B34" i="39"/>
  <c r="E34" i="39" s="1"/>
  <c r="B128" i="29"/>
  <c r="E128" i="29" s="1"/>
  <c r="G144" i="29"/>
  <c r="B72" i="29"/>
  <c r="E72" i="29" s="1"/>
  <c r="D81" i="29"/>
  <c r="J81" i="29" s="1"/>
  <c r="G23" i="29"/>
  <c r="H23" i="29" s="1"/>
  <c r="D94" i="29"/>
  <c r="I94" i="29" s="1"/>
  <c r="B32" i="39"/>
  <c r="E32" i="39" s="1"/>
  <c r="B30" i="39"/>
  <c r="E30" i="39" s="1"/>
  <c r="D40" i="29"/>
  <c r="J40" i="29" s="1"/>
  <c r="G117" i="29"/>
  <c r="D57" i="29"/>
  <c r="I57" i="29" s="1"/>
  <c r="B109" i="29"/>
  <c r="E109" i="29" s="1"/>
  <c r="G131" i="29"/>
  <c r="D109" i="29"/>
  <c r="J109" i="29" s="1"/>
  <c r="B40" i="29"/>
  <c r="E40" i="29" s="1"/>
  <c r="G99" i="29"/>
  <c r="B148" i="29"/>
  <c r="E148" i="29" s="1"/>
  <c r="D149" i="29"/>
  <c r="J149" i="29" s="1"/>
  <c r="G38" i="29"/>
  <c r="G65" i="29"/>
  <c r="G160" i="29"/>
  <c r="G90" i="29"/>
  <c r="G33" i="29"/>
  <c r="B19" i="39"/>
  <c r="E19" i="39" s="1"/>
  <c r="D99" i="29"/>
  <c r="I99" i="29" s="1"/>
  <c r="G59" i="29"/>
  <c r="B89" i="29"/>
  <c r="E89" i="29" s="1"/>
  <c r="D86" i="29"/>
  <c r="H86" i="29" s="1"/>
  <c r="B131" i="29"/>
  <c r="E131" i="29" s="1"/>
  <c r="B55" i="29"/>
  <c r="E55" i="29" s="1"/>
  <c r="B121" i="29"/>
  <c r="E121" i="29" s="1"/>
  <c r="G16" i="39"/>
  <c r="B16" i="39"/>
  <c r="E16" i="39" s="1"/>
  <c r="D16" i="39"/>
  <c r="B64" i="29"/>
  <c r="E64" i="29" s="1"/>
  <c r="D154" i="29"/>
  <c r="I154" i="29" s="1"/>
  <c r="B48" i="29"/>
  <c r="E48" i="29" s="1"/>
  <c r="G120" i="29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I59" i="29" s="1"/>
  <c r="G48" i="29"/>
  <c r="G86" i="29"/>
  <c r="G27" i="39"/>
  <c r="D25" i="39"/>
  <c r="H25" i="39" s="1"/>
  <c r="B35" i="39"/>
  <c r="E35" i="39" s="1"/>
  <c r="B27" i="39"/>
  <c r="E27" i="39" s="1"/>
  <c r="G35" i="39"/>
  <c r="D120" i="29"/>
  <c r="H120" i="29" s="1"/>
  <c r="G64" i="29"/>
  <c r="G154" i="29"/>
  <c r="G31" i="39"/>
  <c r="D75" i="29"/>
  <c r="I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I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I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H42" i="29" s="1"/>
  <c r="D32" i="29"/>
  <c r="J32" i="29" s="1"/>
  <c r="G138" i="29"/>
  <c r="G25" i="29"/>
  <c r="H25" i="29" s="1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I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H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140" i="11"/>
  <c r="K141" i="11" s="1"/>
  <c r="H83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H48" i="29"/>
  <c r="J48" i="29"/>
  <c r="I48" i="29"/>
  <c r="H38" i="29"/>
  <c r="J38" i="29"/>
  <c r="I38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I21" i="39"/>
  <c r="H21" i="39"/>
  <c r="J21" i="39"/>
  <c r="H138" i="29"/>
  <c r="J138" i="29"/>
  <c r="I138" i="29"/>
  <c r="I133" i="29"/>
  <c r="H133" i="29"/>
  <c r="J133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I26" i="39"/>
  <c r="J26" i="39"/>
  <c r="H26" i="39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I27" i="39"/>
  <c r="H27" i="39"/>
  <c r="J27" i="39"/>
  <c r="H126" i="29"/>
  <c r="I126" i="29"/>
  <c r="J126" i="29"/>
  <c r="J85" i="2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112" i="29"/>
  <c r="H112" i="29"/>
  <c r="I112" i="29"/>
  <c r="J71" i="29"/>
  <c r="I71" i="29"/>
  <c r="H71" i="2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21" i="29"/>
  <c r="I21" i="29"/>
  <c r="I63" i="29"/>
  <c r="J63" i="29"/>
  <c r="H63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56" i="29"/>
  <c r="I56" i="29"/>
  <c r="H56" i="29"/>
  <c r="J29" i="29"/>
  <c r="H29" i="29"/>
  <c r="I29" i="29"/>
  <c r="B544" i="41"/>
  <c r="D544" i="41"/>
  <c r="G544" i="41"/>
  <c r="L544" i="41"/>
  <c r="L402" i="41"/>
  <c r="G402" i="41"/>
  <c r="B402" i="41"/>
  <c r="D402" i="41"/>
  <c r="I131" i="29"/>
  <c r="H131" i="29"/>
  <c r="J131" i="29"/>
  <c r="J62" i="29"/>
  <c r="I62" i="29"/>
  <c r="H62" i="29"/>
  <c r="H64" i="29"/>
  <c r="I64" i="29"/>
  <c r="J64" i="2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J22" i="29"/>
  <c r="I22" i="29"/>
  <c r="I65" i="29"/>
  <c r="H65" i="29"/>
  <c r="J65" i="29"/>
  <c r="I106" i="29"/>
  <c r="H106" i="29"/>
  <c r="J100" i="29"/>
  <c r="I100" i="29"/>
  <c r="H100" i="29"/>
  <c r="I25" i="29"/>
  <c r="J25" i="29"/>
  <c r="H97" i="29"/>
  <c r="I97" i="29"/>
  <c r="J97" i="29"/>
  <c r="J158" i="29"/>
  <c r="H158" i="29"/>
  <c r="I158" i="29"/>
  <c r="I143" i="29"/>
  <c r="J143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I77" i="29"/>
  <c r="H77" i="29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J18" i="29"/>
  <c r="I160" i="29"/>
  <c r="H160" i="29"/>
  <c r="J160" i="29"/>
  <c r="H58" i="29"/>
  <c r="H113" i="29"/>
  <c r="J113" i="29"/>
  <c r="I33" i="29"/>
  <c r="H33" i="29"/>
  <c r="J33" i="29"/>
  <c r="H122" i="29"/>
  <c r="J122" i="29"/>
  <c r="H67" i="29"/>
  <c r="J67" i="29"/>
  <c r="I67" i="29"/>
  <c r="J68" i="29"/>
  <c r="H18" i="39"/>
  <c r="J18" i="39"/>
  <c r="I18" i="3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J28" i="39"/>
  <c r="H28" i="39"/>
  <c r="I28" i="39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I31" i="39"/>
  <c r="H31" i="39"/>
  <c r="J31" i="39"/>
  <c r="I22" i="39" l="1"/>
  <c r="I68" i="29"/>
  <c r="I58" i="29"/>
  <c r="J29" i="39"/>
  <c r="H85" i="29"/>
  <c r="I124" i="29"/>
  <c r="H148" i="29"/>
  <c r="H132" i="29"/>
  <c r="I90" i="29"/>
  <c r="H29" i="39"/>
  <c r="J124" i="29"/>
  <c r="I148" i="29"/>
  <c r="I132" i="29"/>
  <c r="H33" i="39"/>
  <c r="K30" i="39"/>
  <c r="I20" i="29"/>
  <c r="I33" i="39"/>
  <c r="I81" i="29"/>
  <c r="J90" i="29"/>
  <c r="K90" i="29" s="1"/>
  <c r="H92" i="29"/>
  <c r="J92" i="29"/>
  <c r="I86" i="29"/>
  <c r="I17" i="39"/>
  <c r="J20" i="29"/>
  <c r="K20" i="29" s="1"/>
  <c r="J35" i="29"/>
  <c r="I34" i="39"/>
  <c r="H115" i="29"/>
  <c r="H24" i="39"/>
  <c r="I20" i="39"/>
  <c r="I115" i="29"/>
  <c r="J34" i="39"/>
  <c r="J75" i="29"/>
  <c r="J88" i="29"/>
  <c r="J25" i="39"/>
  <c r="H30" i="29"/>
  <c r="H99" i="29"/>
  <c r="H155" i="29"/>
  <c r="J162" i="29"/>
  <c r="H88" i="29"/>
  <c r="H40" i="29"/>
  <c r="J99" i="29"/>
  <c r="I35" i="29"/>
  <c r="H18" i="29"/>
  <c r="K18" i="29" s="1"/>
  <c r="J42" i="29"/>
  <c r="I155" i="29"/>
  <c r="H20" i="39"/>
  <c r="I162" i="29"/>
  <c r="I42" i="29"/>
  <c r="K42" i="29" s="1"/>
  <c r="I25" i="39"/>
  <c r="I24" i="39"/>
  <c r="I40" i="29"/>
  <c r="J60" i="29"/>
  <c r="J120" i="29"/>
  <c r="J59" i="29"/>
  <c r="H157" i="29"/>
  <c r="J151" i="29"/>
  <c r="H28" i="29"/>
  <c r="H75" i="29"/>
  <c r="I120" i="29"/>
  <c r="J157" i="29"/>
  <c r="H59" i="29"/>
  <c r="J47" i="29"/>
  <c r="J57" i="29"/>
  <c r="I27" i="29"/>
  <c r="H57" i="29"/>
  <c r="J22" i="39"/>
  <c r="J154" i="29"/>
  <c r="H60" i="29"/>
  <c r="K60" i="29" s="1"/>
  <c r="J82" i="29"/>
  <c r="H145" i="29"/>
  <c r="I159" i="29"/>
  <c r="J19" i="29"/>
  <c r="H154" i="29"/>
  <c r="H19" i="29"/>
  <c r="H81" i="29"/>
  <c r="J86" i="29"/>
  <c r="I151" i="29"/>
  <c r="J159" i="29"/>
  <c r="H109" i="29"/>
  <c r="H149" i="29"/>
  <c r="H17" i="39"/>
  <c r="J74" i="29"/>
  <c r="I149" i="29"/>
  <c r="I109" i="29"/>
  <c r="J94" i="29"/>
  <c r="H94" i="29"/>
  <c r="I145" i="29"/>
  <c r="I87" i="29"/>
  <c r="I28" i="29"/>
  <c r="K28" i="29" s="1"/>
  <c r="H165" i="29"/>
  <c r="H16" i="39"/>
  <c r="J16" i="39"/>
  <c r="I16" i="39"/>
  <c r="H32" i="29"/>
  <c r="J37" i="29"/>
  <c r="H79" i="29"/>
  <c r="I74" i="29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K27" i="29" s="1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H51" i="29"/>
  <c r="J129" i="29"/>
  <c r="H84" i="29"/>
  <c r="I36" i="29"/>
  <c r="I130" i="29"/>
  <c r="I118" i="29"/>
  <c r="K118" i="29" s="1"/>
  <c r="I70" i="29"/>
  <c r="J84" i="29"/>
  <c r="I32" i="29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H82" i="29"/>
  <c r="H47" i="29"/>
  <c r="I105" i="29"/>
  <c r="H104" i="29"/>
  <c r="I123" i="29"/>
  <c r="H95" i="29"/>
  <c r="H16" i="29"/>
  <c r="I39" i="29"/>
  <c r="K39" i="29" s="1"/>
  <c r="J119" i="29"/>
  <c r="J53" i="29"/>
  <c r="J165" i="29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J41" i="29"/>
  <c r="J70" i="29"/>
  <c r="K70" i="29" s="1"/>
  <c r="J130" i="29"/>
  <c r="J153" i="29"/>
  <c r="I41" i="29"/>
  <c r="I111" i="29"/>
  <c r="H111" i="29"/>
  <c r="H105" i="29"/>
  <c r="J156" i="29"/>
  <c r="H91" i="29"/>
  <c r="K133" i="29"/>
  <c r="H66" i="29"/>
  <c r="I91" i="29"/>
  <c r="J66" i="29"/>
  <c r="K63" i="29"/>
  <c r="K112" i="29"/>
  <c r="K24" i="29"/>
  <c r="K116" i="29"/>
  <c r="K122" i="29"/>
  <c r="K160" i="29"/>
  <c r="K78" i="29"/>
  <c r="K107" i="29"/>
  <c r="K142" i="29"/>
  <c r="K29" i="29"/>
  <c r="K23" i="29"/>
  <c r="K150" i="29"/>
  <c r="K136" i="29"/>
  <c r="K147" i="29"/>
  <c r="K32" i="39"/>
  <c r="K38" i="29"/>
  <c r="K23" i="39"/>
  <c r="K97" i="29"/>
  <c r="K100" i="29"/>
  <c r="K73" i="29"/>
  <c r="K21" i="29"/>
  <c r="K72" i="29"/>
  <c r="K108" i="29"/>
  <c r="K26" i="3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K106" i="29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18" i="39"/>
  <c r="K113" i="2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K67" i="29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K21" i="39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142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K28" i="39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68" i="29"/>
  <c r="K33" i="29"/>
  <c r="K58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43" i="29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33" i="39"/>
  <c r="K85" i="29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41" i="29" l="1"/>
  <c r="K22" i="39"/>
  <c r="K124" i="29"/>
  <c r="K148" i="29"/>
  <c r="K29" i="39"/>
  <c r="K132" i="29"/>
  <c r="K92" i="29"/>
  <c r="K81" i="29"/>
  <c r="K157" i="29"/>
  <c r="K86" i="29"/>
  <c r="K17" i="39"/>
  <c r="K30" i="29"/>
  <c r="K35" i="29"/>
  <c r="K115" i="29"/>
  <c r="K47" i="29"/>
  <c r="K162" i="29"/>
  <c r="K34" i="39"/>
  <c r="K120" i="29"/>
  <c r="K40" i="29"/>
  <c r="K59" i="29"/>
  <c r="K25" i="39"/>
  <c r="K88" i="29"/>
  <c r="K24" i="39"/>
  <c r="K99" i="29"/>
  <c r="K20" i="39"/>
  <c r="K155" i="29"/>
  <c r="K75" i="29"/>
  <c r="I38" i="39"/>
  <c r="I39" i="39" s="1"/>
  <c r="I40" i="39" s="1"/>
  <c r="K82" i="29"/>
  <c r="K154" i="29"/>
  <c r="K57" i="29"/>
  <c r="K159" i="29"/>
  <c r="K145" i="29"/>
  <c r="K151" i="29"/>
  <c r="J38" i="39"/>
  <c r="J39" i="39" s="1"/>
  <c r="J40" i="39" s="1"/>
  <c r="K19" i="29"/>
  <c r="K149" i="29"/>
  <c r="H38" i="39"/>
  <c r="H39" i="39" s="1"/>
  <c r="H40" i="39" s="1"/>
  <c r="K94" i="29"/>
  <c r="K93" i="29"/>
  <c r="K109" i="29"/>
  <c r="K74" i="29"/>
  <c r="K87" i="29"/>
  <c r="K156" i="29"/>
  <c r="K165" i="29"/>
  <c r="K37" i="29"/>
  <c r="K79" i="29"/>
  <c r="K32" i="29"/>
  <c r="K16" i="39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K38" i="39" l="1"/>
  <c r="K39" i="39" s="1"/>
  <c r="K40" i="39" s="1"/>
  <c r="D12" i="54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<sst xmlns="http://schemas.openxmlformats.org/spreadsheetml/2006/main" count="4817" uniqueCount="1650">
  <si>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</si>
  <si>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</si>
  <si>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</si>
  <si>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</si>
  <si>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</si>
  <si>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</si>
  <si>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</si>
  <si>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</si>
  <si>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</si>
  <si>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</si>
  <si>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</si>
  <si>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</si>
  <si>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</si>
  <si>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</si>
  <si>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</si>
  <si>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</si>
  <si>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</si>
  <si>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</si>
  <si>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</si>
  <si>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</si>
  <si>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</si>
  <si>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</si>
  <si>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</si>
  <si>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</si>
  <si>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</si>
  <si>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</si>
  <si>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</si>
  <si>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</si>
  <si>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</si>
  <si>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</si>
  <si>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</si>
  <si>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</si>
  <si>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</si>
  <si>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</si>
  <si>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</si>
  <si>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</si>
  <si>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</si>
  <si>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</si>
  <si>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</si>
  <si>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</si>
  <si>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</si>
  <si>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</si>
  <si>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</si>
  <si>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</si>
  <si>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</si>
  <si>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</si>
  <si>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</si>
  <si>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</si>
  <si>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</si>
  <si>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</si>
  <si>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</si>
  <si>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</si>
  <si>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</si>
  <si>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</si>
  <si>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</si>
  <si>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</si>
  <si>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</si>
  <si>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</si>
  <si>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</si>
  <si>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</si>
  <si>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</si>
  <si>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</si>
  <si>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</si>
  <si>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</si>
  <si>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</si>
  <si>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</si>
  <si>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</si>
  <si>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</si>
  <si>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</si>
  <si>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</si>
  <si>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</si>
  <si>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</si>
  <si>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</si>
  <si>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</si>
  <si>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</si>
  <si>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</si>
  <si>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</si>
  <si>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</si>
  <si>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</si>
  <si>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</si>
  <si>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</si>
  <si>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</si>
  <si>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</si>
  <si>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</si>
  <si>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</si>
  <si>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</si>
  <si>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</si>
  <si>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</si>
  <si>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</si>
  <si>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</si>
  <si>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</si>
  <si>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</si>
  <si>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</si>
  <si>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</si>
  <si>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</si>
  <si>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</si>
  <si>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</si>
  <si>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</si>
  <si>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</si>
  <si>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</si>
  <si>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</si>
  <si>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</si>
  <si>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</si>
  <si>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</si>
  <si>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</si>
  <si>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</si>
  <si>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</si>
  <si>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</si>
  <si>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</si>
  <si>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</si>
  <si>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</si>
  <si>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</si>
  <si>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</si>
  <si>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</si>
  <si>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</si>
  <si>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</si>
  <si>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</si>
  <si>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</si>
  <si>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</si>
  <si>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</si>
  <si>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</si>
  <si>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</si>
  <si>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</si>
  <si>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</si>
  <si>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</si>
  <si>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</si>
  <si>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</si>
  <si>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</si>
  <si>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</si>
  <si>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</si>
  <si>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</si>
  <si>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</si>
  <si>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</si>
  <si>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</si>
  <si>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</si>
  <si>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</si>
  <si>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</si>
  <si>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</si>
  <si>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</si>
  <si>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</si>
  <si>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</si>
  <si>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</si>
  <si>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</si>
  <si>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</si>
  <si>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</si>
  <si>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</si>
  <si>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</si>
  <si>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</si>
  <si>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</si>
  <si>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</si>
  <si>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</si>
  <si>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</si>
  <si>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</si>
  <si>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</si>
  <si>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</si>
  <si>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</si>
  <si>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</si>
  <si>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</si>
  <si>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</si>
  <si>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</si>
  <si>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</si>
  <si>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</si>
  <si>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</si>
  <si>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</si>
  <si>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</si>
  <si>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</si>
  <si>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</si>
  <si>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</si>
  <si>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</si>
  <si>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</si>
  <si>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</si>
  <si>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</si>
  <si>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</si>
  <si>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</si>
  <si>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</si>
  <si>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</si>
  <si>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</si>
  <si>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</si>
  <si>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</si>
  <si>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</si>
  <si>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</si>
  <si>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</si>
  <si>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</si>
  <si>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</si>
  <si>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</si>
  <si>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</si>
  <si>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</si>
  <si>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</si>
  <si>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</si>
  <si>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</si>
  <si>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</si>
  <si>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</si>
  <si>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</si>
  <si>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</si>
  <si>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</si>
  <si>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</si>
  <si>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</si>
  <si>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</si>
  <si>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</si>
  <si>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</si>
  <si>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</si>
  <si>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</si>
  <si>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</si>
  <si>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</si>
  <si>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</si>
  <si>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</si>
  <si>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</si>
  <si>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</si>
  <si>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</si>
  <si>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</si>
  <si>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</si>
  <si>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</si>
  <si>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</si>
  <si>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</si>
  <si>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</si>
  <si>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</si>
  <si>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</si>
  <si>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</si>
  <si>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</si>
  <si>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</si>
  <si>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</si>
  <si>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</si>
  <si>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</si>
  <si>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</si>
  <si>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</si>
  <si>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</si>
  <si>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</si>
  <si>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</si>
  <si>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</si>
  <si>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</si>
  <si>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</si>
  <si>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</si>
  <si>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</si>
  <si>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</si>
  <si>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</si>
  <si>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</si>
  <si>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</si>
  <si>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</si>
  <si>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</si>
  <si>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</si>
  <si>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</si>
  <si>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</si>
  <si>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</si>
  <si>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</si>
  <si>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</si>
  <si>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</si>
  <si>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</si>
  <si>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</si>
  <si>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</si>
  <si>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</si>
  <si>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</si>
  <si>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</si>
  <si>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</si>
  <si>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</si>
  <si>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</si>
  <si>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</si>
  <si>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</si>
  <si>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</si>
  <si>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</si>
  <si>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</si>
  <si>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</si>
  <si>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</si>
  <si>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</si>
  <si>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</si>
  <si>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</si>
  <si>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</si>
  <si>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</si>
  <si>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</si>
  <si>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</si>
  <si>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</si>
  <si>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</si>
  <si>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</si>
  <si>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</si>
  <si>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</si>
  <si>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</si>
  <si>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</si>
  <si>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</si>
  <si>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</si>
  <si>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</si>
  <si>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</si>
  <si>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</si>
  <si>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</si>
  <si>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</si>
  <si>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</si>
  <si>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</si>
  <si>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</si>
  <si>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</si>
  <si>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</si>
  <si>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</si>
  <si>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</si>
  <si>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</si>
  <si>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</si>
  <si>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</si>
  <si>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</si>
  <si>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</si>
  <si>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</si>
  <si>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</si>
  <si>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</si>
  <si>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</si>
  <si>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</si>
  <si>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</si>
  <si>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</si>
  <si>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</si>
  <si>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</si>
  <si>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</si>
  <si>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</si>
  <si>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</si>
  <si>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</si>
  <si>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</si>
  <si>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</si>
  <si>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</si>
  <si>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</si>
  <si>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</si>
  <si>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</si>
  <si>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</si>
  <si>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</si>
  <si>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</si>
  <si>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</si>
  <si>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</si>
  <si>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</si>
  <si>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</si>
  <si>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</si>
  <si>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</si>
  <si>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</si>
  <si>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</si>
  <si>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</si>
  <si>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</si>
  <si>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</si>
  <si>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</si>
  <si>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</si>
  <si>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</si>
  <si>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</si>
  <si>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</si>
  <si>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</si>
  <si>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</si>
  <si>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</si>
  <si>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</si>
  <si>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</si>
  <si>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</si>
  <si>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</si>
  <si>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</si>
  <si>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</si>
  <si>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</si>
  <si>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</si>
  <si>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</si>
  <si>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</si>
  <si>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</si>
  <si>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</si>
  <si>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</si>
  <si>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</si>
  <si>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</si>
  <si>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</si>
  <si>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</si>
  <si>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</si>
  <si>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</si>
  <si>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</si>
  <si>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</si>
  <si>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</si>
  <si>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</si>
  <si>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</si>
  <si>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</si>
  <si>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</si>
  <si>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</si>
  <si>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</si>
  <si>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</si>
  <si>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</si>
  <si>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</si>
  <si>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</si>
  <si>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</si>
  <si>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</si>
  <si>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</si>
  <si>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</si>
  <si>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</si>
  <si>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</si>
  <si>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</si>
  <si>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</si>
  <si>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</si>
  <si>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</si>
  <si>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</si>
  <si>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</si>
  <si>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</si>
  <si>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</si>
  <si>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</si>
  <si>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</si>
  <si>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</si>
  <si>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</si>
  <si>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</si>
  <si>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</si>
  <si>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</si>
  <si>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</si>
  <si>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</si>
  <si>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</si>
  <si>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</si>
  <si>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</si>
  <si>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</si>
  <si>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</si>
  <si>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</si>
  <si>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</si>
  <si>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</si>
  <si>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</si>
  <si>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</si>
  <si>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</si>
  <si>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</si>
  <si>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</si>
  <si>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</si>
  <si>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</si>
  <si>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</si>
  <si>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</si>
  <si>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</si>
  <si>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</si>
  <si>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</si>
  <si>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</si>
  <si>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</si>
  <si>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</si>
  <si>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</si>
  <si>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</si>
  <si>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</si>
  <si>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</si>
  <si>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</si>
  <si>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</si>
  <si>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</si>
  <si>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</si>
  <si>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</si>
  <si>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</si>
  <si>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</si>
  <si>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</si>
  <si>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</si>
  <si>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</si>
  <si>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</si>
  <si>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</si>
  <si>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</si>
  <si>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</si>
  <si>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</si>
  <si>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</si>
  <si>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</si>
  <si>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</si>
  <si>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</si>
  <si>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</si>
  <si>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</si>
  <si>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</si>
  <si>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</si>
  <si>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</si>
  <si>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</si>
  <si>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</si>
  <si>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</si>
  <si>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</si>
  <si>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</si>
  <si>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</si>
  <si>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</si>
  <si>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</si>
  <si>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</si>
  <si>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</si>
  <si>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</si>
  <si>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</si>
  <si>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</si>
  <si>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</si>
  <si>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</si>
  <si>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</si>
  <si>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</si>
  <si>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</si>
  <si>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</si>
  <si>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</si>
  <si>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</si>
  <si>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</si>
  <si>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</si>
  <si>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</si>
  <si>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</si>
  <si>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</si>
  <si>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</si>
  <si>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</si>
  <si>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</si>
  <si>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</si>
  <si>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</si>
  <si>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</si>
  <si>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</si>
  <si>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</si>
  <si>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</si>
  <si>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</si>
  <si>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</si>
  <si>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</si>
  <si>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</si>
  <si>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</si>
  <si>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</si>
  <si>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</si>
  <si>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</si>
  <si>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</si>
  <si>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</si>
  <si>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</si>
  <si>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</si>
  <si>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</si>
  <si>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</si>
  <si>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</si>
  <si>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</si>
  <si>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</si>
  <si>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</si>
  <si>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</si>
  <si>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</si>
  <si>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</si>
  <si>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</si>
  <si>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</si>
  <si>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</si>
  <si>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</si>
  <si>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</si>
  <si>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</si>
  <si>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</si>
  <si>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</si>
  <si>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</si>
  <si>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</si>
  <si>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</si>
  <si>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</si>
  <si>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</si>
  <si>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</si>
  <si>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</si>
  <si>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</si>
  <si>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</si>
  <si>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</si>
  <si>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</si>
  <si>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</si>
  <si>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</si>
  <si>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</si>
  <si>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</si>
  <si>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</si>
  <si>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</si>
  <si>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</si>
  <si>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</si>
  <si>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</si>
  <si>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</si>
  <si>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</si>
  <si>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</si>
  <si>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</si>
  <si>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</si>
  <si>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</si>
  <si>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</si>
  <si>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</si>
  <si>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</si>
  <si>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</si>
  <si>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</si>
  <si>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</si>
  <si>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</si>
  <si>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</si>
  <si>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</si>
  <si>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</si>
  <si>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</si>
  <si>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</si>
  <si>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</si>
  <si>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</si>
  <si>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</si>
  <si>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</si>
  <si>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</si>
  <si>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</si>
  <si>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</si>
  <si>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</si>
  <si>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</si>
  <si>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</si>
  <si>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</si>
  <si>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</si>
  <si>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</si>
  <si>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</si>
  <si>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</si>
  <si>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</si>
  <si>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</si>
  <si>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</si>
  <si>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</si>
  <si>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</si>
  <si>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</si>
  <si>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</si>
  <si>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</si>
  <si>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</si>
  <si>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</si>
  <si>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</si>
  <si>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</si>
  <si>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</si>
  <si>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</si>
  <si>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</si>
  <si>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</si>
  <si>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</si>
  <si>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</si>
  <si>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</si>
  <si>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</si>
  <si>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</si>
  <si>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</si>
  <si>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</si>
  <si>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</si>
  <si>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</si>
  <si>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</si>
  <si>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</si>
  <si>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</si>
  <si>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</si>
  <si>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</si>
  <si>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</si>
  <si>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</si>
  <si>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</si>
  <si>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</si>
  <si>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</si>
  <si>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</si>
  <si>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</si>
  <si>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</si>
  <si>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</si>
  <si>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</si>
  <si>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</si>
  <si>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</si>
  <si>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</si>
  <si>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</si>
  <si>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</si>
  <si>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</si>
  <si>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</si>
  <si>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</si>
  <si>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</si>
  <si>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</si>
  <si>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</si>
  <si>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</si>
  <si>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</si>
  <si>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</si>
  <si>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</si>
  <si>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</si>
  <si>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</si>
  <si>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</si>
  <si>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</si>
  <si>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</si>
  <si>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</si>
  <si>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</si>
  <si>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</si>
  <si>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</si>
  <si>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</si>
  <si>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</si>
  <si>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</si>
  <si>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</si>
  <si>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</si>
  <si>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</si>
  <si>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</si>
  <si>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</si>
  <si>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</si>
  <si>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</si>
  <si>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</si>
  <si>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</si>
  <si>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</si>
  <si>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</si>
  <si>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</si>
  <si>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</si>
  <si>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</si>
  <si>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</si>
  <si>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</si>
  <si>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</si>
  <si>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</si>
  <si>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</si>
  <si>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</si>
  <si>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</si>
  <si>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</si>
  <si>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</si>
  <si>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</si>
  <si>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</si>
  <si>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</si>
  <si>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</si>
  <si>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</si>
  <si>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</si>
  <si>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</si>
  <si>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</si>
  <si>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</si>
  <si>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</si>
  <si>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</si>
  <si>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</si>
  <si>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</si>
  <si>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</si>
  <si>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</si>
  <si>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</si>
  <si>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</si>
  <si>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</si>
  <si>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</si>
  <si>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</si>
  <si>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</si>
  <si>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</si>
  <si>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</si>
  <si>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</si>
  <si>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</si>
  <si>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</si>
  <si>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</si>
  <si>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</si>
  <si>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</si>
  <si>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</si>
  <si>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</si>
  <si>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</si>
  <si>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</si>
  <si>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</si>
  <si>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</si>
  <si>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</si>
  <si>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</si>
  <si>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</si>
  <si>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</si>
  <si>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</si>
  <si>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</si>
  <si>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</si>
  <si>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</si>
  <si>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</si>
  <si>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</si>
  <si>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</si>
  <si>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</si>
  <si>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</si>
  <si>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</si>
  <si>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</si>
  <si>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</si>
  <si>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</si>
  <si>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</si>
  <si>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</si>
  <si>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</si>
  <si>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</si>
  <si>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</si>
  <si>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</si>
  <si>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</si>
  <si>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</si>
  <si>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</si>
  <si>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</si>
  <si>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</si>
  <si>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</si>
  <si>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</si>
  <si>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</si>
  <si>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</si>
  <si>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</si>
  <si>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</si>
  <si>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</si>
  <si>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</si>
  <si>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</si>
  <si>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</si>
  <si>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</si>
  <si>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</si>
  <si>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</si>
  <si>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</si>
  <si>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</si>
  <si>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</si>
  <si>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</si>
  <si>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</si>
  <si>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</si>
  <si>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</si>
  <si>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</si>
  <si>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</si>
  <si>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</si>
  <si>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</si>
  <si>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</si>
  <si>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</si>
  <si>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</si>
  <si>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</si>
  <si>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</si>
  <si>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</si>
  <si>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</si>
  <si>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</si>
  <si>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</si>
  <si>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</si>
  <si>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</si>
  <si>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</si>
  <si>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</si>
  <si>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</si>
  <si>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</si>
  <si>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</si>
  <si>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</si>
  <si>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</si>
  <si>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</si>
  <si>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</si>
  <si>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</si>
  <si>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</si>
  <si>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</si>
  <si>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</si>
  <si>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</si>
  <si>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</si>
  <si>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</si>
  <si>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</si>
  <si>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</si>
  <si>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</si>
  <si>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</si>
  <si>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</si>
  <si>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</si>
  <si>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</si>
  <si>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</si>
  <si>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</si>
  <si>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</si>
  <si>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</si>
  <si>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</si>
  <si>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</si>
  <si>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</si>
  <si>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</si>
  <si>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</si>
  <si>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</si>
  <si>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</si>
  <si>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</si>
  <si>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</si>
  <si>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</si>
  <si>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</si>
  <si>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</si>
  <si>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</si>
  <si>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</si>
  <si>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</si>
  <si>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</si>
  <si>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</si>
  <si>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</si>
  <si>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</si>
  <si>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</si>
  <si>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</si>
  <si>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</si>
  <si>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</si>
  <si>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</si>
  <si>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</si>
  <si>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</si>
  <si>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</si>
  <si>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</si>
  <si>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</si>
  <si>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</si>
  <si>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</si>
  <si>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</si>
  <si>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</si>
  <si>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</si>
  <si>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</si>
  <si>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</si>
  <si>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</si>
  <si>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</si>
  <si>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</si>
  <si>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</si>
  <si>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</si>
  <si>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</si>
  <si>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</si>
  <si>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</si>
  <si>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</si>
  <si>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</si>
  <si>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</si>
  <si>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</si>
  <si>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</si>
  <si>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</si>
  <si>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</si>
  <si>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</si>
  <si>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</si>
  <si>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</si>
  <si>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</si>
  <si>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</si>
  <si>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</si>
  <si>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</si>
  <si>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</si>
  <si>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</si>
  <si>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</si>
  <si>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</si>
  <si>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</si>
  <si>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</si>
  <si>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</si>
  <si>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</si>
  <si>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</si>
  <si>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</si>
  <si>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</si>
  <si>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</si>
  <si>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</si>
  <si>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</si>
  <si>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</si>
  <si>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</si>
  <si>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</si>
  <si>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</si>
  <si>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</si>
  <si>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</si>
  <si>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</si>
  <si>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</si>
  <si>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</si>
  <si>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</si>
  <si>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</si>
  <si>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</si>
  <si>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</si>
  <si>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</si>
  <si>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</si>
  <si>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</si>
  <si>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</si>
  <si>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</si>
  <si>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</si>
  <si>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</si>
  <si>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</si>
  <si>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</si>
  <si>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</si>
  <si>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</si>
  <si>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</si>
  <si>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</si>
  <si>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</si>
  <si>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</si>
  <si>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</si>
  <si>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</si>
  <si>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</si>
  <si>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</si>
  <si>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</si>
  <si>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</si>
  <si>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</si>
  <si>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</si>
  <si>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</si>
  <si>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</si>
  <si>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</si>
  <si>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</si>
  <si>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</si>
  <si>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</si>
  <si>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</si>
  <si>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</si>
  <si>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</si>
  <si>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</si>
  <si>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</si>
  <si>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</si>
  <si>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</si>
  <si>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</si>
  <si>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</si>
  <si>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</si>
  <si>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</si>
  <si>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</si>
  <si>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</si>
  <si>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</si>
  <si>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</si>
  <si>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</si>
  <si>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</si>
  <si>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</si>
  <si>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</si>
  <si>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</si>
  <si>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</si>
  <si>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</si>
  <si>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</si>
  <si>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</si>
  <si>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</si>
  <si>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</si>
  <si>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</si>
  <si>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</si>
  <si>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</si>
  <si>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</si>
  <si>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</si>
  <si>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</si>
  <si>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</si>
  <si>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</si>
  <si>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</si>
  <si>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</si>
  <si>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</si>
  <si>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</si>
  <si>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</si>
  <si>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</si>
  <si>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</si>
  <si>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</si>
  <si>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</si>
  <si>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</si>
  <si>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</si>
  <si>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</si>
  <si>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</si>
  <si>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</si>
  <si>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</si>
  <si>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</si>
  <si>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</si>
  <si>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</si>
  <si>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</si>
  <si>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</si>
  <si>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</si>
  <si>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</si>
  <si>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</si>
  <si>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</si>
  <si>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</si>
  <si>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</si>
  <si>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</si>
  <si>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</si>
  <si>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</si>
  <si>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</si>
  <si>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</si>
  <si>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</si>
  <si>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</si>
  <si>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</si>
  <si>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</si>
  <si>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</si>
  <si>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</si>
  <si>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</si>
  <si>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</si>
  <si>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</si>
  <si>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</si>
  <si>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</si>
  <si>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</si>
  <si>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</si>
  <si>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</si>
  <si>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</si>
  <si>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</si>
  <si>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</si>
  <si>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</si>
  <si>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</si>
  <si>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</si>
  <si>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</si>
  <si>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</si>
  <si>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</si>
  <si>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</si>
  <si>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</si>
  <si>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</si>
  <si>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</si>
  <si>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</si>
  <si>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</si>
  <si>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</si>
  <si>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</si>
  <si>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</si>
  <si>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</si>
  <si>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</si>
  <si>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</si>
  <si>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</si>
  <si>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</si>
  <si>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</si>
  <si>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</si>
  <si>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</si>
  <si>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</si>
  <si>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</si>
  <si>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</si>
  <si>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</si>
  <si>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</si>
  <si>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</si>
  <si>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</si>
  <si>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</si>
  <si>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</si>
  <si>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</si>
  <si>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</si>
  <si>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</si>
  <si>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</si>
  <si>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</si>
  <si>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</si>
  <si>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</si>
  <si>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</si>
  <si>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</si>
  <si>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</si>
  <si>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</si>
  <si>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</si>
  <si>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</si>
  <si>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</si>
  <si>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</si>
  <si>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</si>
  <si>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</si>
  <si>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</si>
  <si>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</si>
  <si>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</si>
  <si>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</si>
  <si>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</si>
  <si>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</si>
  <si>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</si>
  <si>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</si>
  <si>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</si>
  <si>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</si>
  <si>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</si>
  <si>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</si>
  <si>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</si>
  <si>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</si>
  <si>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</si>
  <si>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</si>
  <si>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</si>
  <si>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</si>
  <si>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</si>
  <si>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</si>
  <si>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</si>
  <si>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</si>
  <si>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</si>
  <si>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</si>
  <si>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</si>
  <si>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</si>
  <si>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</si>
  <si>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</si>
  <si>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</si>
  <si>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</si>
  <si>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</si>
  <si>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</si>
  <si>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</si>
  <si>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</si>
  <si>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</si>
  <si>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</si>
  <si>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</si>
  <si>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</si>
  <si>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</si>
  <si>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</si>
  <si>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</si>
  <si>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</si>
  <si>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</si>
  <si>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</si>
  <si>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</si>
  <si>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</si>
  <si>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</si>
  <si>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</si>
  <si>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</si>
  <si>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</si>
  <si>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</si>
  <si>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</si>
  <si>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</si>
  <si>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</si>
  <si>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</si>
  <si>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</si>
  <si>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</si>
  <si>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</si>
  <si>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</si>
  <si>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</si>
  <si>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</si>
  <si>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</si>
  <si>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</si>
  <si>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</si>
  <si>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</si>
  <si>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</si>
  <si>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</si>
  <si>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</si>
  <si>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</si>
  <si>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</si>
  <si>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</si>
  <si>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</si>
  <si>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</si>
  <si>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</si>
  <si>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</si>
  <si>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</si>
  <si>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</si>
  <si>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</si>
  <si>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</si>
  <si>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</si>
  <si>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</si>
  <si>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</si>
  <si>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</si>
  <si>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</si>
  <si>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</si>
  <si>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</si>
  <si>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</si>
  <si>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</si>
  <si>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</si>
  <si>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</si>
  <si>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</si>
  <si>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</si>
  <si>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</si>
  <si>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</si>
  <si>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</si>
  <si>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</si>
  <si>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</si>
  <si>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</si>
  <si>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</si>
  <si>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</si>
  <si>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</si>
  <si>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</si>
  <si>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</si>
  <si>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</si>
  <si>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</si>
  <si>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</si>
  <si>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</si>
  <si>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</si>
  <si>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</si>
  <si>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</si>
  <si>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</si>
  <si>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</si>
  <si>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</si>
  <si>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</si>
  <si>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</si>
  <si>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</si>
  <si>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</si>
  <si>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</si>
  <si>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</si>
  <si>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</si>
  <si>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</si>
  <si>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</si>
  <si>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</si>
  <si>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</si>
  <si>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</si>
  <si>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</si>
  <si>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</si>
  <si>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</si>
  <si>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</si>
  <si>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</si>
  <si>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</si>
  <si>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</si>
  <si>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</si>
  <si>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</si>
  <si>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</si>
  <si>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</si>
  <si>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</si>
  <si>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</si>
  <si>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</si>
  <si>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</si>
  <si>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</si>
  <si>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</si>
  <si>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</si>
  <si>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</si>
  <si>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</si>
  <si>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</si>
  <si>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</si>
  <si>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</si>
  <si>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</si>
  <si>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</si>
  <si>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</si>
  <si>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</si>
  <si>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</si>
  <si>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</si>
  <si>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</si>
  <si>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</si>
  <si>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</si>
  <si>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</si>
  <si>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</si>
  <si>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</si>
  <si>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</si>
  <si>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</si>
  <si>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</si>
  <si>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</si>
  <si>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</si>
  <si>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</si>
  <si>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</si>
  <si>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</si>
  <si>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</si>
  <si>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</si>
  <si>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</si>
  <si>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</si>
  <si>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</si>
  <si>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</si>
  <si>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</si>
  <si>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</si>
  <si>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</si>
  <si>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</si>
  <si>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</si>
  <si>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</si>
  <si>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</si>
  <si>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</si>
  <si>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</si>
  <si>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</si>
  <si>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</si>
  <si>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</si>
  <si>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</si>
  <si>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</si>
  <si>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</si>
  <si>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</si>
  <si>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</si>
  <si>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</si>
  <si>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</si>
  <si>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</si>
  <si>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</si>
  <si>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</si>
  <si>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</si>
  <si>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</si>
  <si>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</si>
  <si>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</si>
  <si>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</si>
  <si>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</si>
  <si>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</si>
  <si>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</si>
  <si>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</si>
  <si>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</si>
  <si>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</si>
  <si>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</si>
  <si>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</si>
  <si>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</si>
  <si>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</si>
  <si>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</si>
  <si>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</si>
  <si>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</si>
  <si>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</si>
  <si>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</si>
  <si>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</si>
  <si>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</si>
  <si>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</si>
  <si>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</si>
  <si>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</si>
  <si>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</si>
  <si>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</si>
  <si>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</si>
  <si>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</si>
  <si>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</si>
  <si>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</si>
  <si>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</si>
  <si>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</si>
  <si>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</si>
  <si>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</si>
  <si>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</si>
  <si>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</si>
  <si>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</si>
  <si>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</si>
  <si>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</si>
  <si>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</si>
  <si>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</si>
  <si>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</si>
  <si>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</si>
  <si>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</si>
  <si>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</si>
  <si>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</si>
  <si>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</si>
  <si>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</si>
  <si>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</si>
  <si>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</si>
  <si>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</si>
  <si>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</si>
  <si>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</si>
  <si>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</si>
  <si>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</si>
  <si>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</si>
  <si>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</si>
  <si>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</si>
  <si>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</si>
  <si>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</si>
  <si>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</si>
  <si>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</si>
  <si>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</si>
  <si>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</si>
  <si>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</si>
  <si>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</si>
  <si>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</si>
  <si>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</si>
  <si>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</si>
  <si>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</si>
  <si>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</si>
  <si>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</si>
  <si>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</si>
  <si>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</si>
  <si>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</si>
  <si>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</si>
  <si>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</si>
  <si>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</si>
  <si>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</si>
  <si>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</si>
  <si>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</si>
  <si>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</si>
  <si>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</si>
  <si>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</si>
  <si>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</si>
  <si>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</si>
  <si>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</si>
  <si>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</si>
  <si>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</si>
  <si>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</si>
  <si>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</si>
  <si>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</si>
  <si>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</si>
  <si>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</si>
  <si>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</si>
  <si>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</si>
  <si>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</si>
  <si>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</si>
  <si>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</si>
  <si>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</si>
  <si>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</si>
  <si>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</si>
  <si>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</si>
  <si>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</si>
  <si>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</si>
  <si>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</si>
  <si>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</si>
  <si>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</si>
  <si>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</si>
  <si>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</si>
  <si>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</si>
  <si>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</si>
  <si>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</si>
  <si>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</si>
  <si>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</si>
  <si>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</si>
  <si>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</si>
  <si>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</si>
  <si>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</si>
  <si>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</si>
  <si>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</si>
  <si>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</si>
  <si>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</si>
  <si>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</si>
  <si>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</si>
  <si>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</si>
  <si>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</si>
  <si>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</si>
  <si>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</si>
  <si>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</si>
  <si>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</si>
  <si>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</si>
  <si>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</si>
  <si>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</si>
  <si>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</si>
  <si>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</si>
  <si>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</si>
  <si>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</si>
  <si>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</si>
  <si>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</si>
  <si>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</si>
  <si>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</si>
  <si>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</si>
  <si>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</si>
  <si>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</si>
  <si>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</si>
  <si>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</si>
  <si>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</si>
  <si>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</si>
  <si>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</si>
  <si>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</si>
  <si>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</si>
  <si>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</si>
  <si>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</si>
  <si>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</si>
  <si>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</si>
  <si>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</si>
  <si>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</si>
  <si>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</si>
  <si>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</si>
  <si>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</si>
  <si>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</si>
  <si>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</si>
  <si>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</si>
  <si>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</si>
  <si>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</si>
  <si>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</si>
  <si>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</si>
  <si>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</si>
  <si>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</si>
  <si>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</si>
  <si>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</si>
  <si>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</si>
  <si>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</si>
  <si>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</si>
  <si>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</si>
  <si>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</si>
  <si>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</si>
  <si>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</si>
  <si>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</si>
  <si>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</si>
  <si>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</si>
  <si>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</si>
  <si>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</si>
  <si>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</si>
  <si>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</si>
  <si>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</si>
  <si>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</si>
  <si>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</si>
  <si>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</si>
  <si>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</si>
  <si>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</si>
  <si>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</si>
  <si>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</si>
  <si>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</si>
  <si>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</si>
  <si>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</si>
  <si>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</si>
  <si>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</si>
  <si>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</si>
  <si>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</si>
  <si>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</si>
  <si>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</si>
  <si>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</si>
  <si>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</si>
  <si>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</si>
  <si>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</si>
  <si>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</si>
  <si>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</si>
  <si>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</si>
  <si>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</si>
  <si>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</si>
  <si>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</si>
  <si>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</si>
  <si>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</si>
  <si>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</si>
  <si>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</si>
  <si>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</si>
  <si>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</si>
  <si>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</si>
  <si>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</si>
  <si>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</si>
  <si>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</si>
  <si>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</si>
  <si>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</si>
  <si>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</si>
  <si>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</si>
  <si>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</si>
  <si>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</si>
  <si>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</si>
  <si>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</si>
  <si>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</si>
  <si>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</si>
  <si>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</si>
  <si>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</si>
  <si>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</si>
  <si>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</si>
  <si>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</si>
  <si>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</si>
  <si>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</si>
  <si>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</si>
  <si>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</si>
  <si>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</si>
  <si>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</si>
  <si>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</si>
  <si>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</si>
  <si>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</si>
  <si>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</si>
  <si>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</si>
  <si>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</si>
  <si>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</si>
  <si>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</si>
  <si>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</si>
  <si>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</si>
  <si>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</si>
  <si>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</si>
  <si>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</si>
  <si>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</si>
  <si>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</si>
  <si>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</si>
  <si>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</si>
  <si>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</si>
  <si>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</si>
  <si>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</si>
  <si>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</si>
  <si>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</si>
  <si>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</si>
  <si>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</si>
  <si>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</si>
  <si>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</si>
  <si>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</si>
  <si>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</si>
  <si>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</si>
  <si>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</si>
  <si>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</si>
  <si>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</si>
  <si>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</si>
  <si>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</si>
  <si>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</si>
  <si>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</si>
  <si>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</si>
  <si>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</si>
  <si>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</si>
  <si>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</si>
  <si>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</si>
  <si>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</si>
  <si>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</si>
  <si>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</si>
  <si>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</si>
  <si>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</si>
  <si>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</si>
  <si>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</si>
  <si>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</si>
  <si>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</si>
  <si>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</si>
  <si>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</si>
  <si>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</si>
  <si>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</si>
  <si>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</si>
  <si>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</si>
  <si>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</si>
  <si>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</si>
  <si>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</si>
  <si>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</si>
  <si>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</si>
  <si>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</si>
  <si>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</si>
  <si>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</si>
  <si>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</si>
  <si>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</si>
  <si>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</si>
  <si>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</si>
  <si>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</si>
  <si>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</si>
  <si>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</si>
  <si>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</si>
  <si>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</si>
  <si>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</si>
  <si>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</si>
  <si>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</si>
  <si>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</si>
  <si>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</si>
  <si>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</si>
  <si>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</si>
  <si>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</si>
  <si>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</si>
  <si>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</si>
  <si>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</si>
  <si>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</si>
  <si>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</si>
  <si>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</si>
  <si>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</si>
  <si>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</si>
  <si>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</si>
  <si>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</si>
  <si>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</si>
  <si>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</si>
  <si>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</si>
  <si>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</si>
  <si>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</si>
  <si>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</si>
  <si>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</si>
  <si>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</si>
  <si>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</si>
  <si>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</si>
  <si>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</si>
  <si>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</si>
  <si>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</si>
  <si>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</si>
  <si>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</si>
  <si>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</si>
  <si>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</si>
  <si>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</si>
  <si>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</si>
  <si>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</si>
  <si>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</si>
  <si>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</si>
  <si>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</si>
  <si>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</si>
  <si>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</si>
  <si>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</si>
  <si>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</si>
  <si>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</si>
  <si>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</si>
  <si>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</si>
  <si>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</si>
  <si>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</si>
  <si>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</si>
  <si>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</si>
  <si>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</si>
  <si>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</si>
  <si>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</si>
  <si>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</si>
  <si>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</si>
  <si>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</si>
  <si>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</si>
  <si>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</si>
  <si>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</si>
  <si>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</si>
  <si>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</si>
  <si>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</si>
  <si>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</si>
  <si>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</si>
  <si>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</si>
  <si>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</si>
  <si>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</si>
  <si>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</si>
  <si>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</si>
  <si>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</si>
  <si>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</si>
  <si>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</si>
  <si>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</si>
  <si>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</si>
  <si>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</si>
  <si>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</si>
  <si>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</si>
  <si>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</si>
  <si>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Isolator Tarik ( Porcelain ) 20 KV + Primary Dead End Clamp 70-150 mm²</t>
  </si>
  <si>
    <t>NFA2X-T 2 x 70 + N 50 mm²</t>
  </si>
  <si>
    <t>Sepatu Kabel AL/CU Ring-70 mm²</t>
  </si>
  <si>
    <t>Demak, 30Agustus 2023</t>
  </si>
  <si>
    <t>UNIT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</si>
  <si>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</si>
  <si>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</si>
  <si>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</si>
  <si>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</si>
  <si>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</si>
  <si>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</si>
  <si>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</si>
  <si>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B2</t>
  </si>
  <si>
    <t>C12-350</t>
  </si>
  <si>
    <t>BTG</t>
  </si>
  <si>
    <t>CM2-12</t>
  </si>
  <si>
    <t>CM2-11M</t>
  </si>
  <si>
    <t xml:space="preserve">Jumper Wire : </t>
  </si>
  <si>
    <t>NFA2X-T 3 x 70 + N 50 mm²</t>
  </si>
  <si>
    <t>Stainless Steel Strap 20 X 0.7 mm</t>
  </si>
  <si>
    <t>PB AHMAD IDRIS (PT. PERMATA MEDIKA UTAMI) 164KVA</t>
  </si>
  <si>
    <t>APP 3P 66KVA</t>
  </si>
  <si>
    <t>CC7</t>
  </si>
  <si>
    <t>G312-A 100KVA</t>
  </si>
  <si>
    <t>CE1-3</t>
  </si>
  <si>
    <t>F1-3</t>
  </si>
  <si>
    <t>LVTC 3X70+70</t>
  </si>
  <si>
    <t>MTR</t>
  </si>
  <si>
    <t>AAAC 150MM</t>
  </si>
  <si>
    <t>-7.115166, 110.911264</t>
  </si>
  <si>
    <t>Trafo 3 Fasa 100 KVA 1 Tiang (G312-A)</t>
  </si>
  <si>
    <t>Isolator Tarik ( Porcelain ) 20 KV + Primary Dead End Clamp 150-240 mm²</t>
  </si>
  <si>
    <t>Daya 66.000 VA</t>
  </si>
  <si>
    <t>PD NEW STAR CINEPLEX 11-66KVA</t>
  </si>
  <si>
    <t xml:space="preserve"> DS KALONGAN</t>
  </si>
  <si>
    <t>K2-696/A</t>
  </si>
  <si>
    <t>PWI12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</si>
</sst>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56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9" fillId="0" borderId="0"/>
  </cellStyleXfs>
  <cellXfs count="728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0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43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2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right" vertical="center"/>
    </xf>
    <xf numFmtId="9" fontId="142" fillId="36" borderId="0" xfId="2671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0" fontId="142" fillId="36" borderId="0" xfId="2671" applyNumberFormat="1" applyFont="1" applyFill="1" applyBorder="1" applyAlignment="1" applyProtection="1">
      <alignment horizontal="right" vertical="center"/>
    </xf>
    <xf numFmtId="169" fontId="141" fillId="36" borderId="0" xfId="2672" applyNumberFormat="1" applyFont="1" applyFill="1" applyBorder="1" applyAlignment="1" applyProtection="1">
      <alignment horizontal="right" vertical="center"/>
    </xf>
    <xf numFmtId="0" fontId="135" fillId="0" borderId="0" xfId="2670" applyFont="1" applyAlignment="1">
      <alignment horizontal="left" vertical="center"/>
    </xf>
    <xf numFmtId="0" fontId="138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5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6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7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5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1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4" xfId="2670" applyFont="1" applyFill="1" applyBorder="1" applyAlignment="1">
      <alignment horizontal="left" vertical="center"/>
    </xf>
    <xf numFmtId="0" fontId="155" fillId="39" borderId="70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7" xfId="2670" applyFont="1" applyFill="1" applyBorder="1" applyAlignment="1">
      <alignment horizontal="center" vertical="center"/>
    </xf>
    <xf numFmtId="167" fontId="137" fillId="40" borderId="73" xfId="2672" applyFont="1" applyFill="1" applyBorder="1" applyAlignment="1" applyProtection="1">
      <alignment horizontal="right" vertical="center" wrapText="1"/>
      <protection locked="0"/>
    </xf>
    <xf numFmtId="167" fontId="137" fillId="40" borderId="75" xfId="2672" applyFont="1" applyFill="1" applyBorder="1" applyAlignment="1" applyProtection="1">
      <alignment horizontal="right" vertical="center"/>
      <protection locked="0"/>
    </xf>
    <xf numFmtId="169" fontId="137" fillId="40" borderId="75" xfId="2672" applyNumberFormat="1" applyFont="1" applyFill="1" applyBorder="1" applyAlignment="1" applyProtection="1">
      <alignment horizontal="right" vertical="center"/>
      <protection locked="0"/>
    </xf>
    <xf numFmtId="169" fontId="137" fillId="40" borderId="78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1" xfId="2673" applyFont="1" applyBorder="1" applyAlignment="1">
      <alignment horizontal="center" vertical="center" wrapText="1"/>
    </xf>
    <xf numFmtId="0" fontId="158" fillId="0" borderId="0" xfId="2673" applyFont="1" applyAlignment="1">
      <alignment horizontal="center" vertical="center" wrapText="1"/>
    </xf>
    <xf numFmtId="0" fontId="159" fillId="0" borderId="0" xfId="2673" applyFont="1" applyAlignment="1">
      <alignment vertical="center" wrapText="1"/>
    </xf>
    <xf numFmtId="0" fontId="160" fillId="0" borderId="0" xfId="2673" applyFont="1" applyAlignment="1">
      <alignment vertical="center" wrapText="1"/>
    </xf>
    <xf numFmtId="0" fontId="143" fillId="35" borderId="82" xfId="2673" applyFont="1" applyFill="1" applyBorder="1" applyAlignment="1">
      <alignment vertical="center" wrapText="1"/>
    </xf>
    <xf numFmtId="0" fontId="143" fillId="43" borderId="82" xfId="2673" applyFont="1" applyFill="1" applyBorder="1" applyAlignment="1">
      <alignment vertical="center" wrapText="1"/>
    </xf>
    <xf numFmtId="0" fontId="157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35" borderId="32" xfId="2673" applyFont="1" applyFill="1" applyBorder="1" applyAlignment="1">
      <alignment vertical="center" wrapText="1"/>
    </xf>
    <xf numFmtId="0" fontId="131" fillId="43" borderId="32" xfId="2673" applyFont="1" applyFill="1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2" fontId="131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1" fillId="0" borderId="0" xfId="2675" applyFont="1" applyFill="1" applyBorder="1" applyAlignment="1">
      <alignment horizontal="center" vertical="center" wrapText="1"/>
    </xf>
    <xf numFmtId="1" fontId="131" fillId="0" borderId="50" xfId="2673" applyNumberFormat="1" applyFont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2" fontId="165" fillId="0" borderId="0" xfId="2673" applyNumberFormat="1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43" fillId="35" borderId="51" xfId="2673" applyFont="1" applyFill="1" applyBorder="1" applyAlignment="1">
      <alignment vertical="center" wrapText="1"/>
    </xf>
    <xf numFmtId="0" fontId="143" fillId="0" borderId="53" xfId="2673" applyFont="1" applyBorder="1" applyAlignment="1">
      <alignment horizontal="center" vertical="center" wrapText="1"/>
    </xf>
    <xf numFmtId="0" fontId="143" fillId="35" borderId="49" xfId="2673" applyFont="1" applyFill="1" applyBorder="1" applyAlignment="1">
      <alignment vertical="center" wrapText="1"/>
    </xf>
    <xf numFmtId="1" fontId="131" fillId="0" borderId="58" xfId="2673" applyNumberFormat="1" applyFont="1" applyBorder="1" applyAlignment="1">
      <alignment vertical="center" wrapText="1"/>
    </xf>
    <xf numFmtId="0" fontId="131" fillId="35" borderId="49" xfId="2673" applyFont="1" applyFill="1" applyBorder="1" applyAlignment="1">
      <alignment vertical="center" wrapText="1"/>
    </xf>
    <xf numFmtId="0" fontId="131" fillId="35" borderId="86" xfId="2673" applyFont="1" applyFill="1" applyBorder="1" applyAlignment="1">
      <alignment vertical="center" wrapText="1"/>
    </xf>
    <xf numFmtId="0" fontId="104" fillId="0" borderId="63" xfId="2673" applyFont="1" applyBorder="1" applyAlignment="1">
      <alignment horizontal="center" vertical="center" wrapText="1"/>
    </xf>
    <xf numFmtId="0" fontId="143" fillId="0" borderId="51" xfId="2673" applyFont="1" applyBorder="1" applyAlignment="1">
      <alignment vertical="center" wrapText="1"/>
    </xf>
    <xf numFmtId="0" fontId="143" fillId="0" borderId="49" xfId="2673" applyFont="1" applyBorder="1" applyAlignment="1">
      <alignment vertical="center" wrapText="1"/>
    </xf>
    <xf numFmtId="0" fontId="131" fillId="0" borderId="49" xfId="2673" applyFont="1" applyBorder="1" applyAlignment="1">
      <alignment vertical="center" wrapText="1"/>
    </xf>
    <xf numFmtId="0" fontId="131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8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69" fontId="141" fillId="47" borderId="0" xfId="2672" applyNumberFormat="1" applyFont="1" applyFill="1" applyBorder="1" applyAlignment="1" applyProtection="1">
      <alignment horizontal="right" vertical="center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152" fillId="0" borderId="21" xfId="1615" applyFont="1" applyBorder="1" applyAlignment="1">
      <alignment horizontal="center" vertical="center"/>
    </xf>
    <xf numFmtId="0" fontId="145" fillId="0" borderId="20" xfId="1615" applyFont="1" applyBorder="1" applyAlignment="1">
      <alignment horizontal="center" vertical="center"/>
    </xf>
    <xf numFmtId="0" fontId="151" fillId="0" borderId="21" xfId="1653" applyFont="1" applyBorder="1" applyAlignment="1">
      <alignment vertical="center" wrapText="1"/>
    </xf>
    <xf numFmtId="9" fontId="117" fillId="33" borderId="0" xfId="2542" applyFont="1" applyFill="1" applyAlignment="1">
      <alignment horizontal="center"/>
    </xf>
    <xf numFmtId="9" fontId="113" fillId="33" borderId="0" xfId="2542" applyFont="1" applyFill="1" applyBorder="1" applyAlignment="1">
      <alignment horizontal="center" vertical="center"/>
    </xf>
    <xf numFmtId="0" fontId="118" fillId="0" borderId="0" xfId="1451" applyFont="1"/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37" xfId="1451" applyFont="1" applyBorder="1"/>
    <xf numFmtId="0" fontId="118" fillId="0" borderId="28" xfId="1451" applyFont="1" applyBorder="1"/>
    <xf numFmtId="0" fontId="119" fillId="0" borderId="0" xfId="1451" applyFont="1" applyAlignment="1">
      <alignment vertical="center"/>
    </xf>
    <xf numFmtId="0" fontId="170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4" fillId="0" borderId="0" xfId="1451" applyFont="1" applyAlignment="1">
      <alignment vertical="center"/>
    </xf>
    <xf numFmtId="0" fontId="114" fillId="0" borderId="37" xfId="1451" applyFont="1" applyBorder="1" applyAlignment="1">
      <alignment vertical="center"/>
    </xf>
    <xf numFmtId="0" fontId="123" fillId="0" borderId="0" xfId="1451" applyFont="1" applyAlignment="1">
      <alignment horizontal="center"/>
    </xf>
    <xf numFmtId="0" fontId="114" fillId="0" borderId="0" xfId="1451" applyFont="1" applyAlignment="1">
      <alignment horizontal="center" vertical="center"/>
    </xf>
    <xf numFmtId="0" fontId="114" fillId="0" borderId="37" xfId="1451" applyFont="1" applyBorder="1" applyAlignment="1">
      <alignment horizontal="center" vertical="center"/>
    </xf>
    <xf numFmtId="0" fontId="118" fillId="0" borderId="34" xfId="1451" applyFont="1" applyBorder="1"/>
    <xf numFmtId="0" fontId="118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118" fillId="0" borderId="31" xfId="1451" applyFont="1" applyBorder="1"/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8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3" fontId="8" fillId="0" borderId="21" xfId="1599" applyNumberFormat="1" applyFont="1" applyBorder="1" applyAlignment="1">
      <alignment horizontal="center" vertical="center"/>
    </xf>
    <xf numFmtId="0" fontId="125" fillId="0" borderId="21" xfId="1652" applyFont="1" applyBorder="1" applyAlignment="1">
      <alignment horizontal="center" vertical="center"/>
    </xf>
    <xf numFmtId="0" fontId="151" fillId="0" borderId="21" xfId="1652" applyFont="1" applyBorder="1" applyAlignment="1">
      <alignment horizontal="center" vertical="center"/>
    </xf>
    <xf numFmtId="0" fontId="147" fillId="48" borderId="21" xfId="1653" applyFont="1" applyFill="1" applyBorder="1" applyAlignment="1">
      <alignment vertical="center" wrapText="1"/>
    </xf>
    <xf numFmtId="0" fontId="42" fillId="48" borderId="21" xfId="1451" applyFont="1" applyFill="1" applyBorder="1" applyAlignment="1">
      <alignment horizontal="left" vertical="center" wrapText="1"/>
    </xf>
    <xf numFmtId="0" fontId="118" fillId="33" borderId="0" xfId="1451" applyFont="1" applyFill="1" applyAlignment="1">
      <alignment horizontal="center" vertical="center"/>
    </xf>
    <xf numFmtId="0" fontId="118" fillId="33" borderId="0" xfId="1451" applyFont="1" applyFill="1" applyAlignment="1">
      <alignment horizontal="center"/>
    </xf>
    <xf numFmtId="0" fontId="125" fillId="0" borderId="20" xfId="1652" applyFont="1" applyBorder="1" applyAlignment="1">
      <alignment horizontal="center" vertical="center"/>
    </xf>
    <xf numFmtId="0" fontId="125" fillId="0" borderId="21" xfId="1652" applyFont="1" applyBorder="1" applyAlignment="1">
      <alignment horizontal="left" vertical="center" wrapText="1"/>
    </xf>
    <xf numFmtId="0" fontId="113" fillId="33" borderId="0" xfId="2677" applyFont="1" applyFill="1" applyAlignment="1">
      <alignment horizontal="center"/>
    </xf>
    <xf numFmtId="0" fontId="113" fillId="33" borderId="26" xfId="2677" applyFont="1" applyFill="1" applyBorder="1" applyAlignment="1">
      <alignment horizontal="center"/>
    </xf>
    <xf numFmtId="0" fontId="113" fillId="33" borderId="36" xfId="2677" applyFont="1" applyFill="1" applyBorder="1" applyAlignment="1">
      <alignment horizontal="center"/>
    </xf>
    <xf numFmtId="0" fontId="113" fillId="33" borderId="28" xfId="2677" applyFont="1" applyFill="1" applyBorder="1" applyAlignment="1">
      <alignment horizontal="center"/>
    </xf>
    <xf numFmtId="0" fontId="113" fillId="33" borderId="0" xfId="2677" quotePrefix="1" applyFont="1" applyFill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3" fillId="33" borderId="37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33" fillId="33" borderId="0" xfId="2677" applyFont="1" applyFill="1" applyAlignment="1">
      <alignment horizontal="center"/>
    </xf>
    <xf numFmtId="0" fontId="115" fillId="33" borderId="28" xfId="2677" applyFont="1" applyFill="1" applyBorder="1" applyAlignment="1">
      <alignment horizontal="center"/>
    </xf>
    <xf numFmtId="0" fontId="115" fillId="33" borderId="0" xfId="2677" applyFont="1" applyFill="1" applyAlignment="1">
      <alignment horizontal="center"/>
    </xf>
    <xf numFmtId="0" fontId="113" fillId="33" borderId="38" xfId="2677" applyFont="1" applyFill="1" applyBorder="1" applyAlignment="1">
      <alignment horizontal="center"/>
    </xf>
    <xf numFmtId="0" fontId="114" fillId="33" borderId="0" xfId="2677" applyFont="1" applyFill="1" applyAlignment="1">
      <alignment horizontal="left"/>
    </xf>
    <xf numFmtId="0" fontId="114" fillId="33" borderId="0" xfId="2677" applyFont="1" applyFill="1" applyAlignment="1">
      <alignment horizontal="center"/>
    </xf>
    <xf numFmtId="0" fontId="90" fillId="33" borderId="40" xfId="2677" applyFont="1" applyFill="1" applyBorder="1" applyAlignment="1">
      <alignment horizontal="center" vertical="center"/>
    </xf>
    <xf numFmtId="0" fontId="90" fillId="33" borderId="47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 vertical="center"/>
    </xf>
    <xf numFmtId="0" fontId="113" fillId="33" borderId="39" xfId="2677" applyFont="1" applyFill="1" applyBorder="1" applyAlignment="1">
      <alignment horizontal="center" vertical="center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116" fillId="33" borderId="0" xfId="2677" applyFont="1" applyFill="1" applyAlignment="1">
      <alignment horizontal="center"/>
    </xf>
    <xf numFmtId="0" fontId="90" fillId="33" borderId="69" xfId="2677" applyFont="1" applyFill="1" applyBorder="1" applyAlignment="1">
      <alignment horizontal="left" vertical="center"/>
    </xf>
    <xf numFmtId="0" fontId="113" fillId="33" borderId="39" xfId="2677" applyFont="1" applyFill="1" applyBorder="1" applyAlignment="1">
      <alignment horizontal="center" vertical="top" wrapText="1"/>
    </xf>
    <xf numFmtId="0" fontId="171" fillId="33" borderId="59" xfId="2677" applyFont="1" applyFill="1" applyBorder="1" applyAlignment="1">
      <alignment horizontal="left" vertical="center"/>
    </xf>
    <xf numFmtId="0" fontId="171" fillId="33" borderId="69" xfId="2677" applyFont="1" applyFill="1" applyBorder="1" applyAlignment="1">
      <alignment horizontal="left" vertical="center"/>
    </xf>
    <xf numFmtId="0" fontId="90" fillId="33" borderId="98" xfId="2677" applyFont="1" applyFill="1" applyBorder="1" applyAlignment="1">
      <alignment horizontal="center" vertical="center"/>
    </xf>
    <xf numFmtId="0" fontId="171" fillId="33" borderId="101" xfId="2677" applyFont="1" applyFill="1" applyBorder="1" applyAlignment="1">
      <alignment horizontal="left" vertical="center"/>
    </xf>
    <xf numFmtId="0" fontId="171" fillId="33" borderId="100" xfId="2677" applyFont="1" applyFill="1" applyBorder="1" applyAlignment="1">
      <alignment horizontal="left" vertical="center"/>
    </xf>
    <xf numFmtId="0" fontId="171" fillId="33" borderId="99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" xfId="2677" applyFont="1" applyFill="1" applyBorder="1" applyAlignment="1">
      <alignment vertical="top" wrapText="1"/>
    </xf>
    <xf numFmtId="0" fontId="113" fillId="33" borderId="39" xfId="2677" applyFont="1" applyFill="1" applyBorder="1" applyAlignment="1">
      <alignment vertical="top" wrapText="1"/>
    </xf>
    <xf numFmtId="0" fontId="117" fillId="33" borderId="95" xfId="2677" applyFont="1" applyFill="1" applyBorder="1" applyAlignment="1">
      <alignment horizontal="center" vertical="top" wrapText="1"/>
    </xf>
    <xf numFmtId="0" fontId="117" fillId="33" borderId="94" xfId="2677" applyFont="1" applyFill="1" applyBorder="1" applyAlignment="1">
      <alignment horizontal="center" vertical="top" wrapText="1"/>
    </xf>
    <xf numFmtId="0" fontId="113" fillId="33" borderId="42" xfId="2677" applyFont="1" applyFill="1" applyBorder="1" applyAlignment="1">
      <alignment horizontal="center"/>
    </xf>
    <xf numFmtId="0" fontId="117" fillId="33" borderId="28" xfId="2677" applyFont="1" applyFill="1" applyBorder="1" applyAlignment="1">
      <alignment horizontal="center"/>
    </xf>
    <xf numFmtId="0" fontId="117" fillId="33" borderId="0" xfId="2677" applyFont="1" applyFill="1" applyAlignment="1">
      <alignment horizontal="center"/>
    </xf>
    <xf numFmtId="20" fontId="113" fillId="33" borderId="39" xfId="2677" applyNumberFormat="1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42" xfId="2677" applyFont="1" applyFill="1" applyBorder="1" applyAlignment="1">
      <alignment horizontal="center" vertical="center" wrapText="1"/>
    </xf>
    <xf numFmtId="0" fontId="113" fillId="33" borderId="0" xfId="2677" applyFont="1" applyFill="1" applyAlignment="1">
      <alignment horizontal="center" vertical="center"/>
    </xf>
    <xf numFmtId="0" fontId="117" fillId="33" borderId="0" xfId="2677" applyFont="1" applyFill="1" applyAlignment="1">
      <alignment horizontal="center" vertical="center"/>
    </xf>
    <xf numFmtId="0" fontId="117" fillId="33" borderId="34" xfId="2677" applyFont="1" applyFill="1" applyBorder="1" applyAlignment="1">
      <alignment horizontal="center"/>
    </xf>
    <xf numFmtId="0" fontId="117" fillId="33" borderId="19" xfId="2677" applyFont="1" applyFill="1" applyBorder="1" applyAlignment="1">
      <alignment horizontal="center"/>
    </xf>
    <xf numFmtId="0" fontId="113" fillId="33" borderId="19" xfId="2677" applyFont="1" applyFill="1" applyBorder="1" applyAlignment="1">
      <alignment horizontal="center"/>
    </xf>
    <xf numFmtId="0" fontId="113" fillId="33" borderId="46" xfId="2677" applyFont="1" applyFill="1" applyBorder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12" fillId="0" borderId="20" xfId="1652" applyFont="1" applyBorder="1" applyAlignment="1">
      <alignment horizontal="center" vertical="center"/>
    </xf>
    <xf numFmtId="0" fontId="42" fillId="0" borderId="21" xfId="0" applyFont="1" applyBorder="1" applyAlignment="1">
      <alignment horizontal="left" vertical="center" wrapText="1"/>
    </xf>
    <xf numFmtId="0" fontId="112" fillId="0" borderId="21" xfId="1652" applyFont="1" applyBorder="1" applyAlignment="1">
      <alignment vertical="center"/>
    </xf>
    <xf numFmtId="0" fontId="42" fillId="0" borderId="21" xfId="1450" applyFont="1" applyBorder="1" applyAlignment="1">
      <alignment vertical="center" wrapText="1"/>
    </xf>
    <xf numFmtId="0" fontId="42" fillId="0" borderId="21" xfId="1450" applyFont="1" applyBorder="1" applyAlignment="1">
      <alignment horizontal="left"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5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0" fontId="50" fillId="0" borderId="3" xfId="1614" applyFont="1" applyBorder="1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6" fillId="0" borderId="84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85" xfId="2673" applyBorder="1" applyAlignment="1">
      <alignment horizontal="center" vertical="center" wrapText="1"/>
    </xf>
    <xf numFmtId="9" fontId="165" fillId="0" borderId="0" xfId="2675" applyFont="1" applyFill="1" applyBorder="1" applyAlignment="1">
      <alignment horizontal="center" vertical="center" wrapText="1"/>
    </xf>
    <xf numFmtId="0" fontId="162" fillId="37" borderId="0" xfId="2673" applyFont="1" applyFill="1" applyAlignment="1">
      <alignment horizontal="left" vertical="center" wrapText="1"/>
    </xf>
    <xf numFmtId="43" fontId="143" fillId="35" borderId="7" xfId="2673" applyNumberFormat="1" applyFont="1" applyFill="1" applyBorder="1" applyAlignment="1">
      <alignment horizontal="center" vertical="center" wrapText="1"/>
    </xf>
    <xf numFmtId="0" fontId="143" fillId="35" borderId="58" xfId="2673" applyFont="1" applyFill="1" applyBorder="1" applyAlignment="1">
      <alignment horizontal="center" vertical="center" wrapText="1"/>
    </xf>
    <xf numFmtId="2" fontId="131" fillId="35" borderId="61" xfId="2673" applyNumberFormat="1" applyFont="1" applyFill="1" applyBorder="1" applyAlignment="1">
      <alignment horizontal="center" vertical="center" wrapText="1"/>
    </xf>
    <xf numFmtId="2" fontId="131" fillId="35" borderId="83" xfId="2673" applyNumberFormat="1" applyFont="1" applyFill="1" applyBorder="1" applyAlignment="1">
      <alignment horizontal="center" vertical="center" wrapText="1"/>
    </xf>
    <xf numFmtId="0" fontId="158" fillId="41" borderId="79" xfId="2673" applyFont="1" applyFill="1" applyBorder="1" applyAlignment="1">
      <alignment horizontal="center" vertical="center" wrapText="1"/>
    </xf>
    <xf numFmtId="0" fontId="158" fillId="41" borderId="80" xfId="2673" applyFont="1" applyFill="1" applyBorder="1" applyAlignment="1">
      <alignment horizontal="center" vertical="center" wrapText="1"/>
    </xf>
    <xf numFmtId="0" fontId="158" fillId="41" borderId="81" xfId="2673" applyFont="1" applyFill="1" applyBorder="1" applyAlignment="1">
      <alignment horizontal="center" vertical="center" wrapText="1"/>
    </xf>
    <xf numFmtId="0" fontId="131" fillId="35" borderId="7" xfId="2673" applyFont="1" applyFill="1" applyBorder="1" applyAlignment="1">
      <alignment horizontal="center" vertical="center" wrapText="1"/>
    </xf>
    <xf numFmtId="0" fontId="131" fillId="35" borderId="58" xfId="2673" applyFont="1" applyFill="1" applyBorder="1" applyAlignment="1">
      <alignment horizontal="center" vertical="center" wrapText="1"/>
    </xf>
    <xf numFmtId="1" fontId="143" fillId="35" borderId="7" xfId="2673" applyNumberFormat="1" applyFont="1" applyFill="1" applyBorder="1" applyAlignment="1">
      <alignment horizontal="center" vertical="center" wrapText="1"/>
    </xf>
    <xf numFmtId="1" fontId="143" fillId="35" borderId="58" xfId="2673" applyNumberFormat="1" applyFont="1" applyFill="1" applyBorder="1" applyAlignment="1">
      <alignment horizontal="center" vertical="center" wrapText="1"/>
    </xf>
    <xf numFmtId="43" fontId="143" fillId="0" borderId="53" xfId="2673" applyNumberFormat="1" applyFont="1" applyBorder="1" applyAlignment="1">
      <alignment horizontal="center" vertical="center" wrapText="1"/>
    </xf>
    <xf numFmtId="0" fontId="143" fillId="0" borderId="54" xfId="2673" applyFont="1" applyBorder="1" applyAlignment="1">
      <alignment horizontal="center" vertical="center" wrapText="1"/>
    </xf>
    <xf numFmtId="9" fontId="131" fillId="0" borderId="63" xfId="2675" applyFont="1" applyFill="1" applyBorder="1" applyAlignment="1">
      <alignment horizontal="center" vertical="center" wrapText="1"/>
    </xf>
    <xf numFmtId="9" fontId="131" fillId="0" borderId="64" xfId="2675" applyFont="1" applyFill="1" applyBorder="1" applyAlignment="1">
      <alignment horizontal="center" vertical="center" wrapText="1"/>
    </xf>
    <xf numFmtId="1" fontId="143" fillId="0" borderId="3" xfId="2673" applyNumberFormat="1" applyFont="1" applyBorder="1" applyAlignment="1">
      <alignment horizontal="center" vertical="center" wrapText="1"/>
    </xf>
    <xf numFmtId="1" fontId="143" fillId="0" borderId="39" xfId="2673" applyNumberFormat="1" applyFont="1" applyBorder="1" applyAlignment="1">
      <alignment horizontal="center" vertical="center" wrapText="1"/>
    </xf>
    <xf numFmtId="2" fontId="131" fillId="0" borderId="3" xfId="2673" applyNumberFormat="1" applyFont="1" applyBorder="1" applyAlignment="1">
      <alignment horizontal="center" vertical="center" wrapText="1"/>
    </xf>
    <xf numFmtId="2" fontId="131" fillId="0" borderId="39" xfId="2673" applyNumberFormat="1" applyFont="1" applyBorder="1" applyAlignment="1">
      <alignment horizontal="center" vertical="center" wrapText="1"/>
    </xf>
    <xf numFmtId="9" fontId="131" fillId="35" borderId="63" xfId="2675" applyFont="1" applyFill="1" applyBorder="1" applyAlignment="1">
      <alignment horizontal="center" vertical="center" wrapText="1"/>
    </xf>
    <xf numFmtId="9" fontId="131" fillId="35" borderId="64" xfId="2675" applyFont="1" applyFill="1" applyBorder="1" applyAlignment="1">
      <alignment horizontal="center" vertical="center" wrapText="1"/>
    </xf>
    <xf numFmtId="2" fontId="131" fillId="35" borderId="3" xfId="2673" applyNumberFormat="1" applyFont="1" applyFill="1" applyBorder="1" applyAlignment="1">
      <alignment horizontal="center" vertical="center" wrapText="1"/>
    </xf>
    <xf numFmtId="2" fontId="131" fillId="35" borderId="39" xfId="2673" applyNumberFormat="1" applyFont="1" applyFill="1" applyBorder="1" applyAlignment="1">
      <alignment horizontal="center" vertical="center" wrapText="1"/>
    </xf>
    <xf numFmtId="0" fontId="161" fillId="0" borderId="50" xfId="2673" applyFont="1" applyBorder="1" applyAlignment="1">
      <alignment horizontal="center" vertical="center" wrapText="1"/>
    </xf>
    <xf numFmtId="0" fontId="161" fillId="0" borderId="58" xfId="2673" applyFont="1" applyBorder="1" applyAlignment="1">
      <alignment horizontal="center" vertical="center" wrapText="1"/>
    </xf>
    <xf numFmtId="0" fontId="161" fillId="44" borderId="3" xfId="2673" applyFont="1" applyFill="1" applyBorder="1" applyAlignment="1">
      <alignment horizontal="center" vertical="center" wrapText="1"/>
    </xf>
    <xf numFmtId="0" fontId="161" fillId="44" borderId="39" xfId="2673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31" fillId="45" borderId="3" xfId="2673" applyNumberFormat="1" applyFont="1" applyFill="1" applyBorder="1" applyAlignment="1">
      <alignment horizontal="center" vertical="center" wrapText="1"/>
    </xf>
    <xf numFmtId="2" fontId="131" fillId="45" borderId="39" xfId="2673" applyNumberFormat="1" applyFont="1" applyFill="1" applyBorder="1" applyAlignment="1">
      <alignment horizontal="center" vertical="center" wrapText="1"/>
    </xf>
    <xf numFmtId="0" fontId="158" fillId="42" borderId="79" xfId="2673" applyFont="1" applyFill="1" applyBorder="1" applyAlignment="1">
      <alignment horizontal="center" vertical="center" wrapText="1"/>
    </xf>
    <xf numFmtId="0" fontId="158" fillId="42" borderId="80" xfId="2673" applyFont="1" applyFill="1" applyBorder="1" applyAlignment="1">
      <alignment horizontal="center" vertical="center" wrapText="1"/>
    </xf>
    <xf numFmtId="0" fontId="158" fillId="42" borderId="81" xfId="2673" applyFont="1" applyFill="1" applyBorder="1" applyAlignment="1">
      <alignment horizontal="center" vertical="center" wrapText="1"/>
    </xf>
    <xf numFmtId="43" fontId="143" fillId="43" borderId="7" xfId="2673" applyNumberFormat="1" applyFont="1" applyFill="1" applyBorder="1" applyAlignment="1">
      <alignment horizontal="center" vertical="center" wrapText="1"/>
    </xf>
    <xf numFmtId="0" fontId="143" fillId="43" borderId="58" xfId="2673" applyFont="1" applyFill="1" applyBorder="1" applyAlignment="1">
      <alignment horizontal="center" vertical="center" wrapText="1"/>
    </xf>
    <xf numFmtId="1" fontId="131" fillId="43" borderId="7" xfId="2673" applyNumberFormat="1" applyFont="1" applyFill="1" applyBorder="1" applyAlignment="1">
      <alignment horizontal="center" vertical="center" wrapText="1"/>
    </xf>
    <xf numFmtId="1" fontId="131" fillId="43" borderId="58" xfId="2673" applyNumberFormat="1" applyFont="1" applyFill="1" applyBorder="1" applyAlignment="1">
      <alignment horizontal="center" vertical="center" wrapText="1"/>
    </xf>
    <xf numFmtId="0" fontId="131" fillId="43" borderId="7" xfId="2673" applyFont="1" applyFill="1" applyBorder="1" applyAlignment="1">
      <alignment horizontal="center" vertical="center" wrapText="1"/>
    </xf>
    <xf numFmtId="0" fontId="131" fillId="43" borderId="58" xfId="2673" applyFont="1" applyFill="1" applyBorder="1" applyAlignment="1">
      <alignment horizontal="center" vertical="center" wrapText="1"/>
    </xf>
    <xf numFmtId="2" fontId="131" fillId="43" borderId="61" xfId="2673" applyNumberFormat="1" applyFont="1" applyFill="1" applyBorder="1" applyAlignment="1">
      <alignment horizontal="center" vertical="center" wrapText="1"/>
    </xf>
    <xf numFmtId="2" fontId="131" fillId="43" borderId="83" xfId="2673" applyNumberFormat="1" applyFont="1" applyFill="1" applyBorder="1" applyAlignment="1">
      <alignment horizontal="center" vertical="center" wrapText="1"/>
    </xf>
    <xf numFmtId="0" fontId="7" fillId="34" borderId="67" xfId="2670" applyFill="1" applyBorder="1" applyAlignment="1">
      <alignment horizontal="center" vertical="center"/>
    </xf>
    <xf numFmtId="0" fontId="135" fillId="0" borderId="68" xfId="2670" applyFont="1" applyBorder="1" applyAlignment="1">
      <alignment horizontal="left" vertical="center"/>
    </xf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horizontal="center" vertical="center"/>
    </xf>
    <xf numFmtId="0" fontId="110" fillId="38" borderId="3" xfId="1538" applyFill="1" applyBorder="1" applyAlignment="1">
      <alignment horizontal="center" vertical="center" wrapText="1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0" fontId="149" fillId="0" borderId="0" xfId="1614" quotePrefix="1" applyFont="1" applyAlignment="1">
      <alignment horizontal="left" vertical="top" wrapText="1"/>
    </xf>
    <xf numFmtId="0" fontId="149" fillId="0" borderId="0" xfId="1614" applyFont="1" applyAlignment="1">
      <alignment horizontal="left" vertical="top" wrapText="1"/>
    </xf>
    <xf numFmtId="37" fontId="147" fillId="0" borderId="0" xfId="1614" applyNumberFormat="1" applyFont="1" applyAlignment="1">
      <alignment horizontal="center"/>
    </xf>
    <xf numFmtId="0" fontId="167" fillId="0" borderId="26" xfId="1614" applyFont="1" applyBorder="1" applyAlignment="1">
      <alignment horizontal="left" vertical="center" wrapText="1"/>
    </xf>
    <xf numFmtId="0" fontId="167" fillId="0" borderId="36" xfId="1614" applyFont="1" applyBorder="1" applyAlignment="1">
      <alignment horizontal="left" vertical="center" wrapText="1"/>
    </xf>
    <xf numFmtId="0" fontId="167" fillId="0" borderId="48" xfId="1614" applyFont="1" applyBorder="1" applyAlignment="1">
      <alignment horizontal="left" vertical="center" wrapText="1"/>
    </xf>
    <xf numFmtId="0" fontId="167" fillId="0" borderId="28" xfId="1614" applyFont="1" applyBorder="1" applyAlignment="1">
      <alignment horizontal="left" vertical="center" wrapText="1"/>
    </xf>
    <xf numFmtId="0" fontId="167" fillId="0" borderId="0" xfId="1614" applyFont="1" applyAlignment="1">
      <alignment horizontal="left" vertical="center" wrapText="1"/>
    </xf>
    <xf numFmtId="0" fontId="167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13" fillId="33" borderId="50" xfId="2677" applyFont="1" applyFill="1" applyBorder="1" applyAlignment="1">
      <alignment horizontal="center"/>
    </xf>
    <xf numFmtId="0" fontId="113" fillId="33" borderId="41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13" fillId="33" borderId="87" xfId="2677" applyFont="1" applyFill="1" applyBorder="1" applyAlignment="1">
      <alignment horizontal="center"/>
    </xf>
    <xf numFmtId="0" fontId="113" fillId="33" borderId="62" xfId="2677" applyFont="1" applyFill="1" applyBorder="1" applyAlignment="1">
      <alignment horizontal="center"/>
    </xf>
    <xf numFmtId="0" fontId="113" fillId="33" borderId="63" xfId="2677" applyFont="1" applyFill="1" applyBorder="1" applyAlignment="1">
      <alignment horizontal="center"/>
    </xf>
    <xf numFmtId="0" fontId="113" fillId="33" borderId="64" xfId="2677" applyFont="1" applyFill="1" applyBorder="1" applyAlignment="1">
      <alignment horizontal="center"/>
    </xf>
    <xf numFmtId="0" fontId="113" fillId="33" borderId="56" xfId="2677" applyFont="1" applyFill="1" applyBorder="1" applyAlignment="1">
      <alignment horizontal="center" vertical="center"/>
    </xf>
    <xf numFmtId="0" fontId="113" fillId="33" borderId="57" xfId="2677" applyFont="1" applyFill="1" applyBorder="1" applyAlignment="1">
      <alignment horizontal="center" vertical="center"/>
    </xf>
    <xf numFmtId="0" fontId="118" fillId="33" borderId="0" xfId="2677" applyFont="1" applyFill="1" applyAlignment="1">
      <alignment horizontal="center" vertical="center" wrapText="1"/>
    </xf>
    <xf numFmtId="0" fontId="118" fillId="33" borderId="37" xfId="2677" applyFont="1" applyFill="1" applyBorder="1" applyAlignment="1">
      <alignment horizontal="center" vertical="center" wrapText="1"/>
    </xf>
    <xf numFmtId="0" fontId="118" fillId="33" borderId="44" xfId="2677" applyFont="1" applyFill="1" applyBorder="1" applyAlignment="1">
      <alignment horizontal="center" vertical="center" wrapText="1"/>
    </xf>
    <xf numFmtId="0" fontId="118" fillId="33" borderId="45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/>
    </xf>
    <xf numFmtId="15" fontId="113" fillId="33" borderId="3" xfId="2677" applyNumberFormat="1" applyFont="1" applyFill="1" applyBorder="1" applyAlignment="1">
      <alignment horizontal="center"/>
    </xf>
    <xf numFmtId="0" fontId="113" fillId="33" borderId="7" xfId="2677" applyFont="1" applyFill="1" applyBorder="1" applyAlignment="1">
      <alignment vertical="top" wrapText="1"/>
    </xf>
    <xf numFmtId="0" fontId="113" fillId="33" borderId="41" xfId="2677" applyFont="1" applyFill="1" applyBorder="1" applyAlignment="1">
      <alignment vertical="top" wrapText="1"/>
    </xf>
    <xf numFmtId="0" fontId="117" fillId="33" borderId="97" xfId="2677" applyFont="1" applyFill="1" applyBorder="1" applyAlignment="1">
      <alignment horizontal="center" vertical="center" wrapText="1"/>
    </xf>
    <xf numFmtId="0" fontId="117" fillId="33" borderId="96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4" fillId="33" borderId="38" xfId="2677" applyFont="1" applyFill="1" applyBorder="1" applyAlignment="1">
      <alignment horizontal="left" vertical="top" wrapText="1"/>
    </xf>
    <xf numFmtId="0" fontId="114" fillId="33" borderId="56" xfId="2677" applyFont="1" applyFill="1" applyBorder="1" applyAlignment="1">
      <alignment horizontal="left" vertical="top" wrapText="1"/>
    </xf>
    <xf numFmtId="0" fontId="114" fillId="33" borderId="57" xfId="2677" applyFont="1" applyFill="1" applyBorder="1" applyAlignment="1">
      <alignment horizontal="left" vertical="top" wrapText="1"/>
    </xf>
    <xf numFmtId="0" fontId="114" fillId="33" borderId="43" xfId="2677" applyFont="1" applyFill="1" applyBorder="1" applyAlignment="1">
      <alignment horizontal="left" vertical="top" wrapText="1"/>
    </xf>
    <xf numFmtId="0" fontId="114" fillId="33" borderId="44" xfId="2677" applyFont="1" applyFill="1" applyBorder="1" applyAlignment="1">
      <alignment horizontal="left" vertical="top" wrapText="1"/>
    </xf>
    <xf numFmtId="0" fontId="114" fillId="33" borderId="45" xfId="2677" applyFont="1" applyFill="1" applyBorder="1" applyAlignment="1">
      <alignment horizontal="left" vertical="top" wrapText="1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horizontal="left" vertical="center"/>
    </xf>
    <xf numFmtId="49" fontId="113" fillId="33" borderId="41" xfId="2677" applyNumberFormat="1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vertical="center"/>
    </xf>
    <xf numFmtId="49" fontId="113" fillId="33" borderId="41" xfId="2677" applyNumberFormat="1" applyFont="1" applyFill="1" applyBorder="1" applyAlignment="1">
      <alignment vertical="center"/>
    </xf>
    <xf numFmtId="49" fontId="113" fillId="33" borderId="50" xfId="2677" applyNumberFormat="1" applyFont="1" applyFill="1" applyBorder="1" applyAlignment="1">
      <alignment vertical="top" wrapText="1"/>
    </xf>
    <xf numFmtId="49" fontId="113" fillId="33" borderId="41" xfId="2677" applyNumberFormat="1" applyFont="1" applyFill="1" applyBorder="1" applyAlignment="1">
      <alignment vertical="top" wrapText="1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49" fontId="90" fillId="33" borderId="102" xfId="2677" applyNumberFormat="1" applyFont="1" applyFill="1" applyBorder="1" applyAlignment="1">
      <alignment horizontal="left" vertical="center"/>
    </xf>
    <xf numFmtId="49" fontId="90" fillId="33" borderId="40" xfId="2677" applyNumberFormat="1" applyFont="1" applyFill="1" applyBorder="1" applyAlignment="1">
      <alignment horizontal="left" vertical="center"/>
    </xf>
    <xf numFmtId="49" fontId="172" fillId="33" borderId="102" xfId="2677" applyNumberFormat="1" applyFont="1" applyFill="1" applyBorder="1" applyAlignment="1">
      <alignment horizontal="left" vertical="center"/>
    </xf>
    <xf numFmtId="49" fontId="172" fillId="33" borderId="40" xfId="2677" applyNumberFormat="1" applyFont="1" applyFill="1" applyBorder="1" applyAlignment="1">
      <alignment horizontal="left" vertical="center"/>
    </xf>
    <xf numFmtId="0" fontId="172" fillId="33" borderId="59" xfId="2677" applyFont="1" applyFill="1" applyBorder="1" applyAlignment="1">
      <alignment horizontal="left" vertical="center"/>
    </xf>
    <xf numFmtId="0" fontId="172" fillId="33" borderId="60" xfId="2677" applyFont="1" applyFill="1" applyBorder="1" applyAlignment="1">
      <alignment horizontal="left" vertical="center"/>
    </xf>
    <xf numFmtId="0" fontId="113" fillId="33" borderId="56" xfId="2677" applyFont="1" applyFill="1" applyBorder="1" applyAlignment="1">
      <alignment horizontal="center"/>
    </xf>
    <xf numFmtId="0" fontId="113" fillId="33" borderId="57" xfId="2677" applyFont="1" applyFill="1" applyBorder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4" fillId="33" borderId="0" xfId="2677" applyFont="1" applyFill="1" applyAlignment="1">
      <alignment horizontal="left"/>
    </xf>
    <xf numFmtId="0" fontId="114" fillId="33" borderId="37" xfId="2677" applyFont="1" applyFill="1" applyBorder="1" applyAlignment="1">
      <alignment horizontal="left"/>
    </xf>
    <xf numFmtId="0" fontId="129" fillId="33" borderId="50" xfId="2677" applyFont="1" applyFill="1" applyBorder="1" applyAlignment="1">
      <alignment horizontal="center" vertical="center"/>
    </xf>
    <xf numFmtId="0" fontId="129" fillId="33" borderId="7" xfId="2677" applyFont="1" applyFill="1" applyBorder="1" applyAlignment="1">
      <alignment horizontal="center" vertical="center"/>
    </xf>
    <xf numFmtId="0" fontId="129" fillId="33" borderId="41" xfId="2677" applyFont="1" applyFill="1" applyBorder="1" applyAlignment="1">
      <alignment horizontal="center" vertical="center"/>
    </xf>
    <xf numFmtId="0" fontId="114" fillId="33" borderId="50" xfId="2677" applyFont="1" applyFill="1" applyBorder="1" applyAlignment="1">
      <alignment horizontal="center" vertical="center"/>
    </xf>
    <xf numFmtId="0" fontId="114" fillId="33" borderId="7" xfId="2677" applyFont="1" applyFill="1" applyBorder="1" applyAlignment="1">
      <alignment horizontal="center" vertical="center"/>
    </xf>
    <xf numFmtId="0" fontId="114" fillId="33" borderId="58" xfId="2677" applyFont="1" applyFill="1" applyBorder="1" applyAlignment="1">
      <alignment horizontal="center" vertical="center"/>
    </xf>
    <xf numFmtId="0" fontId="128" fillId="35" borderId="55" xfId="2677" applyFont="1" applyFill="1" applyBorder="1" applyAlignment="1">
      <alignment horizontal="center" vertical="center"/>
    </xf>
    <xf numFmtId="0" fontId="128" fillId="35" borderId="36" xfId="2677" applyFont="1" applyFill="1" applyBorder="1" applyAlignment="1">
      <alignment horizontal="center" vertical="center"/>
    </xf>
    <xf numFmtId="0" fontId="128" fillId="35" borderId="48" xfId="2677" applyFont="1" applyFill="1" applyBorder="1" applyAlignment="1">
      <alignment horizontal="center" vertical="center"/>
    </xf>
    <xf numFmtId="0" fontId="128" fillId="35" borderId="43" xfId="2677" applyFont="1" applyFill="1" applyBorder="1" applyAlignment="1">
      <alignment horizontal="center" vertical="center"/>
    </xf>
    <xf numFmtId="0" fontId="128" fillId="35" borderId="44" xfId="2677" applyFont="1" applyFill="1" applyBorder="1" applyAlignment="1">
      <alignment horizontal="center" vertical="center"/>
    </xf>
    <xf numFmtId="0" fontId="128" fillId="35" borderId="45" xfId="2677" applyFont="1" applyFill="1" applyBorder="1" applyAlignment="1">
      <alignment horizontal="center" vertical="center"/>
    </xf>
    <xf numFmtId="0" fontId="169" fillId="0" borderId="88" xfId="1451" applyFont="1" applyBorder="1" applyAlignment="1">
      <alignment horizontal="center" vertical="center"/>
    </xf>
    <xf numFmtId="0" fontId="169" fillId="0" borderId="89" xfId="1451" applyFont="1" applyBorder="1" applyAlignment="1">
      <alignment horizontal="center" vertical="center"/>
    </xf>
    <xf numFmtId="0" fontId="169" fillId="0" borderId="90" xfId="1451" applyFont="1" applyBorder="1" applyAlignment="1">
      <alignment horizontal="center" vertical="center"/>
    </xf>
    <xf numFmtId="0" fontId="169" fillId="0" borderId="91" xfId="1451" applyFont="1" applyBorder="1" applyAlignment="1">
      <alignment horizontal="center" vertical="center"/>
    </xf>
    <xf numFmtId="0" fontId="169" fillId="0" borderId="92" xfId="1451" applyFont="1" applyBorder="1" applyAlignment="1">
      <alignment horizontal="center" vertical="center"/>
    </xf>
    <xf numFmtId="0" fontId="169" fillId="0" borderId="93" xfId="1451" applyFont="1" applyBorder="1" applyAlignment="1">
      <alignment horizontal="center" vertical="center"/>
    </xf>
    <xf numFmtId="0" fontId="120" fillId="33" borderId="88" xfId="1451" applyFont="1" applyFill="1" applyBorder="1" applyAlignment="1">
      <alignment horizontal="center" vertical="center"/>
    </xf>
    <xf numFmtId="0" fontId="120" fillId="33" borderId="89" xfId="1451" applyFont="1" applyFill="1" applyBorder="1" applyAlignment="1">
      <alignment horizontal="center" vertical="center"/>
    </xf>
    <xf numFmtId="0" fontId="120" fillId="33" borderId="90" xfId="1451" applyFont="1" applyFill="1" applyBorder="1" applyAlignment="1">
      <alignment horizontal="center" vertical="center"/>
    </xf>
    <xf numFmtId="0" fontId="120" fillId="33" borderId="91" xfId="1451" applyFont="1" applyFill="1" applyBorder="1" applyAlignment="1">
      <alignment horizontal="center" vertical="center"/>
    </xf>
    <xf numFmtId="0" fontId="120" fillId="33" borderId="92" xfId="1451" applyFont="1" applyFill="1" applyBorder="1" applyAlignment="1">
      <alignment horizontal="center" vertical="center"/>
    </xf>
    <xf numFmtId="0" fontId="120" fillId="33" borderId="93" xfId="145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  <xf numFmtId="0" fontId="42" fillId="0" borderId="20" xfId="1652" applyFont="1" applyBorder="1" applyAlignment="1">
      <alignment horizontal="center" vertical="center"/>
    </xf>
    <xf numFmtId="0" fontId="42" fillId="0" borderId="21" xfId="1652" applyFont="1" applyBorder="1" applyAlignment="1">
      <alignment vertical="center"/>
    </xf>
    <xf numFmtId="0" fontId="1" fillId="0" borderId="21" xfId="1652" applyFont="1" applyBorder="1" applyAlignment="1">
      <alignment horizontal="left" vertical="center" wrapText="1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0.65999999999999992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39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40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63CF744-331F-478B-ABEB-8539A1EE0325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8F12DA9B-67ED-4E34-B07F-D6C332F8B07F}"/>
            </a:ext>
          </a:extLst>
        </xdr:cNvPr>
        <xdr:cNvGrpSpPr/>
      </xdr:nvGrpSpPr>
      <xdr:grpSpPr>
        <a:xfrm>
          <a:off x="9876428" y="838059"/>
          <a:ext cx="78668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0DEE2775-27FB-780C-A460-7C42D4DA969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86CE572D-7BCE-228C-BF11-B00EAEB54E3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438B6B6B-F00B-AB5A-7C65-42355D45A587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A66DB47-B566-4E49-9E15-F9CC00B58342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A3D672AC-4E82-4088-A8ED-705F2A6C22D9}"/>
            </a:ext>
          </a:extLst>
        </xdr:cNvPr>
        <xdr:cNvGrpSpPr/>
      </xdr:nvGrpSpPr>
      <xdr:grpSpPr>
        <a:xfrm>
          <a:off x="10636034" y="840891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D1B65DC1-30D9-43A3-5F46-693DAE5A8BA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8AE8947-4A40-6EBD-ACF4-9FAF5E061BBE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84AE2DA8-91C7-CAF3-DEB1-5AE3F53D7FB4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BD5DDF5F-97AD-4CDB-9A6E-DB20F8265665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806F7E5-E2BA-4833-9FFA-B8D82095C67A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6F433B0-DBD5-40E1-8CD8-7957176DC0D4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DCB93B9-3E77-4763-A015-7DEEA759F332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749B4A1-F840-4676-A5D5-F29B867623FF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3CCBE085-2BFB-4145-A7DE-B797BFC5B190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5B2F6601-2554-4278-9CBE-006D92BEA608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95FD85E7-C3CF-44D6-85AA-16A4F6A84A0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B546039-DF56-45AD-A93E-2985E349C0F5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F655240B-34A7-4883-8E5D-019B4744585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0685941-0759-4E80-9109-3E554891265C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580C4FC9-9C60-4E6C-840D-27E4215A3B5B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4043EB0B-456D-4955-A8BC-8D204CF6C8DA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4492F261-1175-4ED5-A140-14C9E1662330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1E41D18-DAF2-4D68-AE9D-F8EC7F16D09F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C98A8414-3E16-4775-8F26-B60E78A3DE9A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DE37E98-DCCD-4B65-85ED-EDD822B92899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B492C0D5-3C9E-4FB5-A252-FC14FB2325AE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CC434DCC-C954-40F0-9112-C89908834603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7B9FE43B-F5F8-4307-8E55-B864EE16D6E2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EAB92BE-2269-4B6B-8C23-3D1B901B29C1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CEA77A68-F61E-42BB-8523-EC5EE72C93F1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D847377-2E27-45EC-B2C5-8346AA18C2F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FBA76F02-134A-4553-A168-18E15AE7DC6F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3256AE83-10A8-48C4-B4C9-E6EB0F8B6EB0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EBBF39A7-E81A-4D2C-85EE-6FA5D02B31A3}"/>
            </a:ext>
          </a:extLst>
        </xdr:cNvPr>
        <xdr:cNvGrpSpPr/>
      </xdr:nvGrpSpPr>
      <xdr:grpSpPr>
        <a:xfrm>
          <a:off x="9798511" y="2080799"/>
          <a:ext cx="197006" cy="122930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7D4EF0C-9AF9-59F7-BBE0-746AF219602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77DE1BD3-632C-CD35-29DE-B10C0E4FC81B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FF055DD2-1272-4377-9985-2DFEFF4A73C7}"/>
            </a:ext>
          </a:extLst>
        </xdr:cNvPr>
        <xdr:cNvGrpSpPr/>
      </xdr:nvGrpSpPr>
      <xdr:grpSpPr>
        <a:xfrm>
          <a:off x="10591135" y="2081382"/>
          <a:ext cx="198434" cy="122929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F646FFFA-28C8-E2BF-1F1D-31365AA3CF5D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7AD0899B-4DA6-AAAE-7B76-76DBA2925F0A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7308D1EB-143D-4D28-8AB5-AC27C027D702}"/>
            </a:ext>
          </a:extLst>
        </xdr:cNvPr>
        <xdr:cNvGrpSpPr/>
      </xdr:nvGrpSpPr>
      <xdr:grpSpPr>
        <a:xfrm>
          <a:off x="9733581" y="2251595"/>
          <a:ext cx="321021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E1F94E1-F523-3714-A194-06F1A3DD75B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1685CF44-A3DF-A5DB-85B9-4971B3163D9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17E3A61-AF4A-EBF3-D1E8-F5B07B16767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3B668C58-FDDD-87C2-B484-8EFC1FA9E58D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16CE1254-755E-48F4-AB7C-A1B57F334BD6}"/>
            </a:ext>
          </a:extLst>
        </xdr:cNvPr>
        <xdr:cNvGrpSpPr/>
      </xdr:nvGrpSpPr>
      <xdr:grpSpPr>
        <a:xfrm>
          <a:off x="10521887" y="2251595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CF650B4A-D5A9-B43F-90CF-D993E21BDFB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ECFF2348-F038-16BB-0143-13392A2DF56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F1B6ED2D-0911-44BA-8A47-605DA6C06316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2684A1B-2C20-66DD-169A-C0EA8E959EE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125F9E7B-B842-4FA5-88AB-05EDCFFBFF23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EE8F734-3E22-4FE0-92CB-2632D2305372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78363B8-82D5-4758-A0D4-8D67474043FE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B257268-F1ED-4612-8F90-BF05B6442A04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102D3213-E6EB-4A47-B5EF-DA61B36050D7}"/>
            </a:ext>
          </a:extLst>
        </xdr:cNvPr>
        <xdr:cNvGrpSpPr/>
      </xdr:nvGrpSpPr>
      <xdr:grpSpPr>
        <a:xfrm>
          <a:off x="9852130" y="1938748"/>
          <a:ext cx="117265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90B16824-19C8-00CE-15EF-2704A84CA96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7D83500C-1006-3ADD-DA34-C8E22822C89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7582DEC6-25CE-0DFC-12CE-52939F19A03A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9C1072F1-7624-4CF9-BBF3-2E012F8F300C}"/>
            </a:ext>
          </a:extLst>
        </xdr:cNvPr>
        <xdr:cNvGrpSpPr/>
      </xdr:nvGrpSpPr>
      <xdr:grpSpPr>
        <a:xfrm>
          <a:off x="10625910" y="1939454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82F07EA5-D7DA-F2F2-0EE3-94523EB7C97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FD0A295-BCDD-4F33-2CCA-41E91B6E9DB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DA7AE1FF-8EB8-65DE-B741-60E093D6C6B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B93C3290-3D12-40E0-ABE1-736D544A2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93663DC2-25EC-4E0E-8FE8-CC318D1E03F5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43ABDF3-82D6-4917-9A1D-8B47508BEAA2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9338F22-F834-48B6-81F2-381A1CF10537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FF8A146-B9B8-4317-B736-FDCD5B2B1943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2296543-5B94-4733-9134-55229C5CDECB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2E38087-442C-420E-A41D-F9DD452C1E5E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B6BC3E79-A6CB-476F-889D-4AB982F260DB}"/>
            </a:ext>
          </a:extLst>
        </xdr:cNvPr>
        <xdr:cNvGrpSpPr/>
      </xdr:nvGrpSpPr>
      <xdr:grpSpPr>
        <a:xfrm rot="21429191">
          <a:off x="7136184" y="9106949"/>
          <a:ext cx="83822" cy="85252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FDA0321-74D4-FAD6-2FD0-0018810FEB1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FD4AFA23-C52D-8194-8A51-43998E1BE96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695F8473-3FB3-C323-3616-E5261F00A38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4D481D6F-22B4-4F0A-A8A9-6EAC34F5352C}"/>
            </a:ext>
          </a:extLst>
        </xdr:cNvPr>
        <xdr:cNvGrpSpPr/>
      </xdr:nvGrpSpPr>
      <xdr:grpSpPr>
        <a:xfrm>
          <a:off x="12692304" y="2339000"/>
          <a:ext cx="107252" cy="67569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C31D1B2A-1183-F407-B1CB-FBABAC2C6CDC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FE99D3B6-5E3C-C633-48C2-16399BB6E19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25512F89-64DB-27EC-67CA-8DCD285E8C6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B88C3670-48D4-455D-88C7-DD2D1C6C500D}"/>
            </a:ext>
          </a:extLst>
        </xdr:cNvPr>
        <xdr:cNvGrpSpPr/>
      </xdr:nvGrpSpPr>
      <xdr:grpSpPr>
        <a:xfrm>
          <a:off x="12648776" y="2486348"/>
          <a:ext cx="139135" cy="69139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7F30983-D492-9D11-4B79-E867A5265C5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B4C4B35B-516D-BEBA-35D8-ED370D8C0C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AF5780C1-E985-0B98-BB54-C8B327185A5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0159F0E-2F92-C8D6-FBD5-08572783BDB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7ED481BD-DEA4-4CCF-A35B-5180C661855A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C15F1A4D-3D60-47CE-AEDB-0FD9A21C085F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CD804BC7-23FC-4ADF-94AC-EABF0F76094A}"/>
            </a:ext>
          </a:extLst>
        </xdr:cNvPr>
        <xdr:cNvGrpSpPr/>
      </xdr:nvGrpSpPr>
      <xdr:grpSpPr>
        <a:xfrm>
          <a:off x="11854483" y="2938525"/>
          <a:ext cx="206054" cy="122931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5AA1CC03-7DFB-F23A-4EAD-E169125BB0F3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BA09AF97-8B30-8954-B598-D92BC79C719F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0947B8F1-271C-478D-91C4-2394384B53F6}"/>
            </a:ext>
          </a:extLst>
        </xdr:cNvPr>
        <xdr:cNvGrpSpPr/>
      </xdr:nvGrpSpPr>
      <xdr:grpSpPr>
        <a:xfrm>
          <a:off x="12648535" y="2939108"/>
          <a:ext cx="206054" cy="122930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BCD5ACB5-D3BD-A1D3-6B90-D283D64D45E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9C9F96B1-0826-57F1-86A6-741BDFEF4AD8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750C81BD-1857-4397-ADA7-5B69C10BCC06}"/>
            </a:ext>
          </a:extLst>
        </xdr:cNvPr>
        <xdr:cNvGrpSpPr/>
      </xdr:nvGrpSpPr>
      <xdr:grpSpPr>
        <a:xfrm>
          <a:off x="11797173" y="3109322"/>
          <a:ext cx="322449" cy="86295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911DB963-F909-9AA8-D0F9-512F55D363B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6EB6C91-C3EC-F022-8B22-59C07041160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70959B2D-FFA0-E246-287A-6B545555610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B4EEF1FA-1CC0-CA80-3DA1-D395C1BDBD6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D49FD2DB-5D04-40D2-9D96-6AA23829EBAB}"/>
            </a:ext>
          </a:extLst>
        </xdr:cNvPr>
        <xdr:cNvGrpSpPr/>
      </xdr:nvGrpSpPr>
      <xdr:grpSpPr>
        <a:xfrm>
          <a:off x="12586907" y="3109322"/>
          <a:ext cx="322449" cy="86295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3366DBBE-DD05-A699-D478-7D72FAEC3E14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BE10A80-6DE1-0E1F-9054-A9406D6D2A2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4E268D9A-E6E0-2643-54DC-4D538845C93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C3C13992-3A4F-2A8A-B941-3EBC230219F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4FFBF67-340D-4524-8367-D0BD4553970B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D354E20E-4B66-4FB0-BD34-EB66B82F8C1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56F1141D-D192-4865-AD51-F5C9A76D9FAF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882221EB-F173-4345-BDE5-385B095742A4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8B556E18-299F-4721-BA0D-044775A3823A}"/>
            </a:ext>
          </a:extLst>
        </xdr:cNvPr>
        <xdr:cNvGrpSpPr/>
      </xdr:nvGrpSpPr>
      <xdr:grpSpPr>
        <a:xfrm>
          <a:off x="11908102" y="2800760"/>
          <a:ext cx="126313" cy="64431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9C4B6F53-CF21-ECB4-72E5-BEACC294EB76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D609C60E-CFBA-EE41-C7EA-74DFB3F1FC01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A7910000-8AFC-1597-A74D-61B0917C1DB5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0F2D76A0-021F-4A32-AE14-85E4960311E6}"/>
            </a:ext>
          </a:extLst>
        </xdr:cNvPr>
        <xdr:cNvGrpSpPr/>
      </xdr:nvGrpSpPr>
      <xdr:grpSpPr>
        <a:xfrm>
          <a:off x="12683310" y="2801466"/>
          <a:ext cx="126313" cy="64431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6FF54D28-E15C-7E06-F4FF-F1F70669609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75E11AB9-D24E-C1C5-99C8-BD4F9C8409F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29AC76BE-E75C-9FAE-8ADF-C3AA183B63E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11</xdr:col>
      <xdr:colOff>189381</xdr:colOff>
      <xdr:row>13</xdr:row>
      <xdr:rowOff>127000</xdr:rowOff>
    </xdr:from>
    <xdr:to>
      <xdr:col>12</xdr:col>
      <xdr:colOff>74082</xdr:colOff>
      <xdr:row>37</xdr:row>
      <xdr:rowOff>21170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7EFE146-354B-4EB6-B29A-DCEDA641F538}"/>
            </a:ext>
          </a:extLst>
        </xdr:cNvPr>
        <xdr:cNvSpPr txBox="1"/>
      </xdr:nvSpPr>
      <xdr:spPr>
        <a:xfrm rot="5400000">
          <a:off x="2327772" y="3682443"/>
          <a:ext cx="3460753" cy="265701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1998630-9AF0-4CC7-A25E-54D97AE1C908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3111781F-9BF1-4C22-9147-A2049A113596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3CC8571-3B7A-46F7-8BD7-E29C1338AF00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A491413C-6DD2-4F0F-AC80-746E29345CF4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66261AB-694B-4D35-8C21-425F59FFB21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9FB4EF83-DECD-4493-8E15-686BE5AF3017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3EC44B1B-EFED-4220-B72E-9B811AC040C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389FCD71-EBFB-41DE-8916-BED9763EBDD8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75957927-2BAF-4065-B2CE-F97EDA9A54FC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8BF0DF3E-E5C2-4EB9-8745-D44791CCEC99}"/>
            </a:ext>
          </a:extLst>
        </xdr:cNvPr>
        <xdr:cNvGrpSpPr/>
      </xdr:nvGrpSpPr>
      <xdr:grpSpPr>
        <a:xfrm>
          <a:off x="2976563" y="8834438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CD2F7FFA-37B6-DBA8-067B-DE70EC8523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59BE5E0E-9FE1-D61D-0C38-7E4A91094A8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FE165C2D-9A72-E69C-360C-F9F4FC2AEB1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9F477B5D-416F-48DA-ACB9-F2935055E8FE}"/>
            </a:ext>
          </a:extLst>
        </xdr:cNvPr>
        <xdr:cNvGrpSpPr/>
      </xdr:nvGrpSpPr>
      <xdr:grpSpPr>
        <a:xfrm>
          <a:off x="3380423" y="8811102"/>
          <a:ext cx="158386" cy="143555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E63B4F7F-A142-2756-8D8A-5CA3CB7387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44C57B58-2C3B-326D-9B18-E9305FE8D56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3C8E6565-9151-AC7D-3EA8-616CA6EAFE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8708E64-4339-4820-A512-D017EE3DC447}"/>
            </a:ext>
          </a:extLst>
        </xdr:cNvPr>
        <xdr:cNvGrpSpPr/>
      </xdr:nvGrpSpPr>
      <xdr:grpSpPr>
        <a:xfrm>
          <a:off x="3915728" y="8851582"/>
          <a:ext cx="157278" cy="143556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60499FD0-3B25-5E15-8188-9810E5E665A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69E9635-370C-7D8C-FCC2-0AD0493427F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27D3B5DA-7FEF-740D-DCE1-92734772C2C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213679</xdr:colOff>
      <xdr:row>33</xdr:row>
      <xdr:rowOff>90172</xdr:rowOff>
    </xdr:from>
    <xdr:to>
      <xdr:col>10</xdr:col>
      <xdr:colOff>358231</xdr:colOff>
      <xdr:row>34</xdr:row>
      <xdr:rowOff>86604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83FCC763-F473-4E28-AB3E-BF4902CBC2DA}"/>
            </a:ext>
          </a:extLst>
        </xdr:cNvPr>
        <xdr:cNvGrpSpPr/>
      </xdr:nvGrpSpPr>
      <xdr:grpSpPr>
        <a:xfrm>
          <a:off x="3571242" y="5221766"/>
          <a:ext cx="144552" cy="151213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1A295A-315C-4C3D-E64B-07817552BFD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F52EA243-0D72-89E3-6312-5A91C38E36F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6A357142-FE92-A2F8-6163-001D3C64832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8E7BAFF-8FA3-4720-96CD-9772E4F4D711}"/>
            </a:ext>
          </a:extLst>
        </xdr:cNvPr>
        <xdr:cNvGrpSpPr/>
      </xdr:nvGrpSpPr>
      <xdr:grpSpPr>
        <a:xfrm>
          <a:off x="4763453" y="8845867"/>
          <a:ext cx="125502" cy="143999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2CD9B4FB-5D45-63DC-A2CF-01C5F4FA222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E4BB43DF-F3E0-C91D-C7D3-3C38DDF38EB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6C8480F7-AA87-E1DE-4D0A-A484B10F544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8FA2BC6A-96A4-45C2-971B-E9F71CB6E5C8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A03B60C6-1E8A-4D32-A9BF-2F3965984D45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BBCA904C-F9E0-4482-9B12-A0496A36BAAA}"/>
            </a:ext>
          </a:extLst>
        </xdr:cNvPr>
        <xdr:cNvGrpSpPr/>
      </xdr:nvGrpSpPr>
      <xdr:grpSpPr>
        <a:xfrm>
          <a:off x="5241608" y="8805386"/>
          <a:ext cx="125502" cy="151216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57BA697-B870-FA42-B18D-0AE0FBE25E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62AD6806-FFF9-2C4F-3AEB-740FF1454E4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CF4C2710-6E06-45F9-893E-06713AD394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0C7DE1BB-4136-4BA6-9C3C-D28DB95AE288}"/>
            </a:ext>
          </a:extLst>
        </xdr:cNvPr>
        <xdr:cNvGrpSpPr/>
      </xdr:nvGrpSpPr>
      <xdr:grpSpPr>
        <a:xfrm>
          <a:off x="5752148" y="8868728"/>
          <a:ext cx="144423" cy="157309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74589A36-35ED-4269-7B14-3A80B92E59F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A5F60117-047F-5464-F9A9-F5F58A763F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60E5FA93-BEC3-6BD2-D46E-01C539D02B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EED28218-E400-4596-BDEE-D380CAC75509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01C10AF7-C94C-434D-9159-ED7C372E840A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AF47834C-7E19-4B2A-9C4F-27EA39C9A9D0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3A8A0CA9-D0B8-4366-9CD0-60765678C88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E2E731BF-D32F-4E94-89B1-F71401CF9E11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BDEFA8E5-544C-4F63-BD01-6B6359B75668}"/>
            </a:ext>
          </a:extLst>
        </xdr:cNvPr>
        <xdr:cNvGrpSpPr/>
      </xdr:nvGrpSpPr>
      <xdr:grpSpPr>
        <a:xfrm>
          <a:off x="2431733" y="8776811"/>
          <a:ext cx="231003" cy="97097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FD9BD94A-1298-4FBC-9DC7-1E0CE2281CB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4804DBF-406E-626E-D414-CE0CB09D036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82BAFBA7-E37B-ADE9-C847-74B661DE4C8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F863BD6A-F9A4-4756-BCB4-0CF7F2391C3F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F3866B91-080D-41F8-9EEE-03A25933F9FA}"/>
            </a:ext>
          </a:extLst>
        </xdr:cNvPr>
        <xdr:cNvGrpSpPr/>
      </xdr:nvGrpSpPr>
      <xdr:grpSpPr>
        <a:xfrm>
          <a:off x="1953578" y="9012080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C9C7EBC6-5E06-CE0C-1B4D-5E0078D1201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568762E5-A624-40D2-EBEF-C8A846FA102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386E3184-8236-F897-5630-052F80FF1ADB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C3074276-9A36-4268-818C-0C45DDBC95C2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FBFF1AC8-49BC-49E9-939D-919E92765423}"/>
            </a:ext>
          </a:extLst>
        </xdr:cNvPr>
        <xdr:cNvGrpSpPr/>
      </xdr:nvGrpSpPr>
      <xdr:grpSpPr>
        <a:xfrm rot="21429191">
          <a:off x="7499033" y="9120665"/>
          <a:ext cx="83822" cy="85252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F634AD8E-5028-8F5C-83C3-1A56EE41D27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26E88FE7-A50C-10D3-7092-7C33D19BA67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1F541770-8271-2F78-761C-0E80A6AB877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8953BDCC-F16A-443A-B827-FCAAE7FC968E}"/>
            </a:ext>
          </a:extLst>
        </xdr:cNvPr>
        <xdr:cNvGrpSpPr/>
      </xdr:nvGrpSpPr>
      <xdr:grpSpPr>
        <a:xfrm>
          <a:off x="7720013" y="9123522"/>
          <a:ext cx="139135" cy="69139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A12B48BB-07BD-3885-4171-BB5B95E00EC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19A9F328-96A7-C63C-3A36-D911E7241BF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0D4B8572-446A-4BCB-A789-7D6A5ED7E1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FE46853E-6705-F42F-31FC-386E43FA359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A0EC342A-B392-4A5A-9456-18377E4CF717}"/>
            </a:ext>
          </a:extLst>
        </xdr:cNvPr>
        <xdr:cNvGrpSpPr/>
      </xdr:nvGrpSpPr>
      <xdr:grpSpPr>
        <a:xfrm>
          <a:off x="7933373" y="9108281"/>
          <a:ext cx="139135" cy="69139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4FA306E4-0460-383C-C42B-60A05380554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9FFC2FEE-ED07-D80E-2134-3716C876B27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CA435612-7095-1DCE-192E-80F3658990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DC13AC2C-47FD-FB71-6BA8-07A7F695756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207221</xdr:colOff>
      <xdr:row>15</xdr:row>
      <xdr:rowOff>61172</xdr:rowOff>
    </xdr:from>
    <xdr:to>
      <xdr:col>10</xdr:col>
      <xdr:colOff>351773</xdr:colOff>
      <xdr:row>16</xdr:row>
      <xdr:rowOff>57604</xdr:rowOff>
    </xdr:to>
    <xdr:grpSp>
      <xdr:nvGrpSpPr>
        <xdr:cNvPr id="185" name="Group 13">
          <a:extLst>
            <a:ext uri="{FF2B5EF4-FFF2-40B4-BE49-F238E27FC236}">
              <a16:creationId xmlns:a16="http://schemas.microsoft.com/office/drawing/2014/main" id="{96D1C79F-097D-4728-A136-E242A5759B50}"/>
            </a:ext>
          </a:extLst>
        </xdr:cNvPr>
        <xdr:cNvGrpSpPr/>
      </xdr:nvGrpSpPr>
      <xdr:grpSpPr>
        <a:xfrm>
          <a:off x="3564784" y="2418610"/>
          <a:ext cx="144552" cy="151213"/>
          <a:chOff x="9937028" y="802652"/>
          <a:chExt cx="83991" cy="77961"/>
        </a:xfrm>
      </xdr:grpSpPr>
      <xdr:sp macro="" textlink="">
        <xdr:nvSpPr>
          <xdr:cNvPr id="186" name="Oval 1">
            <a:extLst>
              <a:ext uri="{FF2B5EF4-FFF2-40B4-BE49-F238E27FC236}">
                <a16:creationId xmlns:a16="http://schemas.microsoft.com/office/drawing/2014/main" id="{3132339A-C52F-ACAE-F70B-3FA0A83FDBA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7" name="Straight Connector 3">
            <a:extLst>
              <a:ext uri="{FF2B5EF4-FFF2-40B4-BE49-F238E27FC236}">
                <a16:creationId xmlns:a16="http://schemas.microsoft.com/office/drawing/2014/main" id="{D222E405-CA0E-BEFE-8D11-92CB853D5CC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7">
            <a:extLst>
              <a:ext uri="{FF2B5EF4-FFF2-40B4-BE49-F238E27FC236}">
                <a16:creationId xmlns:a16="http://schemas.microsoft.com/office/drawing/2014/main" id="{94048102-0840-E304-5161-1DA969F62BD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1313</xdr:colOff>
      <xdr:row>24</xdr:row>
      <xdr:rowOff>11941</xdr:rowOff>
    </xdr:from>
    <xdr:to>
      <xdr:col>17</xdr:col>
      <xdr:colOff>70655</xdr:colOff>
      <xdr:row>29</xdr:row>
      <xdr:rowOff>123551</xdr:rowOff>
    </xdr:to>
    <xdr:sp macro="" textlink="">
      <xdr:nvSpPr>
        <xdr:cNvPr id="189" name="Rectangle 1">
          <a:extLst>
            <a:ext uri="{FF2B5EF4-FFF2-40B4-BE49-F238E27FC236}">
              <a16:creationId xmlns:a16="http://schemas.microsoft.com/office/drawing/2014/main" id="{975604C4-8EB8-49C8-A95D-44A7A713F848}"/>
            </a:ext>
          </a:extLst>
        </xdr:cNvPr>
        <xdr:cNvSpPr/>
      </xdr:nvSpPr>
      <xdr:spPr>
        <a:xfrm rot="16200000">
          <a:off x="5239339" y="3659379"/>
          <a:ext cx="860003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10</xdr:col>
      <xdr:colOff>275166</xdr:colOff>
      <xdr:row>11</xdr:row>
      <xdr:rowOff>74083</xdr:rowOff>
    </xdr:from>
    <xdr:to>
      <xdr:col>10</xdr:col>
      <xdr:colOff>285750</xdr:colOff>
      <xdr:row>37</xdr:row>
      <xdr:rowOff>137583</xdr:rowOff>
    </xdr:to>
    <xdr:cxnSp macro="">
      <xdr:nvCxnSpPr>
        <xdr:cNvPr id="191" name="Straight Connector 139">
          <a:extLst>
            <a:ext uri="{FF2B5EF4-FFF2-40B4-BE49-F238E27FC236}">
              <a16:creationId xmlns:a16="http://schemas.microsoft.com/office/drawing/2014/main" id="{491ABDDB-D972-41D2-8BB5-AB2FA054AAF6}"/>
            </a:ext>
          </a:extLst>
        </xdr:cNvPr>
        <xdr:cNvCxnSpPr>
          <a:cxnSpLocks/>
        </xdr:cNvCxnSpPr>
      </xdr:nvCxnSpPr>
      <xdr:spPr bwMode="auto">
        <a:xfrm flipV="1">
          <a:off x="3630083" y="1725083"/>
          <a:ext cx="10584" cy="39370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245714</xdr:colOff>
      <xdr:row>24</xdr:row>
      <xdr:rowOff>35138</xdr:rowOff>
    </xdr:from>
    <xdr:to>
      <xdr:col>15</xdr:col>
      <xdr:colOff>30449</xdr:colOff>
      <xdr:row>25</xdr:row>
      <xdr:rowOff>35137</xdr:rowOff>
    </xdr:to>
    <xdr:sp macro="" textlink="">
      <xdr:nvSpPr>
        <xdr:cNvPr id="202" name="Rectangle 146">
          <a:extLst>
            <a:ext uri="{FF2B5EF4-FFF2-40B4-BE49-F238E27FC236}">
              <a16:creationId xmlns:a16="http://schemas.microsoft.com/office/drawing/2014/main" id="{4BE35D7F-97C7-438B-8F57-45AED1831006}"/>
            </a:ext>
          </a:extLst>
        </xdr:cNvPr>
        <xdr:cNvSpPr/>
      </xdr:nvSpPr>
      <xdr:spPr>
        <a:xfrm>
          <a:off x="5117071" y="3668245"/>
          <a:ext cx="165735" cy="149678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12</xdr:col>
      <xdr:colOff>108852</xdr:colOff>
      <xdr:row>24</xdr:row>
      <xdr:rowOff>138219</xdr:rowOff>
    </xdr:from>
    <xdr:to>
      <xdr:col>12</xdr:col>
      <xdr:colOff>339855</xdr:colOff>
      <xdr:row>25</xdr:row>
      <xdr:rowOff>75244</xdr:rowOff>
    </xdr:to>
    <xdr:grpSp>
      <xdr:nvGrpSpPr>
        <xdr:cNvPr id="204" name="Group 134">
          <a:extLst>
            <a:ext uri="{FF2B5EF4-FFF2-40B4-BE49-F238E27FC236}">
              <a16:creationId xmlns:a16="http://schemas.microsoft.com/office/drawing/2014/main" id="{5053215A-D5DC-4056-AF61-367D7C901D41}"/>
            </a:ext>
          </a:extLst>
        </xdr:cNvPr>
        <xdr:cNvGrpSpPr/>
      </xdr:nvGrpSpPr>
      <xdr:grpSpPr>
        <a:xfrm>
          <a:off x="4228415" y="3888688"/>
          <a:ext cx="231003" cy="91806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205" name="Isosceles Triangle 118">
            <a:extLst>
              <a:ext uri="{FF2B5EF4-FFF2-40B4-BE49-F238E27FC236}">
                <a16:creationId xmlns:a16="http://schemas.microsoft.com/office/drawing/2014/main" id="{F20B85D0-F67A-BAAF-6381-B45B49C59C94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6" name="Isosceles Triangle 119">
            <a:extLst>
              <a:ext uri="{FF2B5EF4-FFF2-40B4-BE49-F238E27FC236}">
                <a16:creationId xmlns:a16="http://schemas.microsoft.com/office/drawing/2014/main" id="{599D9F6F-7D12-1743-5FFE-77604B0C4F6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7" name="Isosceles Triangle 120">
            <a:extLst>
              <a:ext uri="{FF2B5EF4-FFF2-40B4-BE49-F238E27FC236}">
                <a16:creationId xmlns:a16="http://schemas.microsoft.com/office/drawing/2014/main" id="{E44E5E48-079F-A0DE-3F31-DABDBE4D0EBE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11</xdr:col>
      <xdr:colOff>191213</xdr:colOff>
      <xdr:row>23</xdr:row>
      <xdr:rowOff>90949</xdr:rowOff>
    </xdr:from>
    <xdr:to>
      <xdr:col>13</xdr:col>
      <xdr:colOff>210623</xdr:colOff>
      <xdr:row>24</xdr:row>
      <xdr:rowOff>126403</xdr:rowOff>
    </xdr:to>
    <xdr:sp macro="" textlink="">
      <xdr:nvSpPr>
        <xdr:cNvPr id="208" name="TextBox 160">
          <a:extLst>
            <a:ext uri="{FF2B5EF4-FFF2-40B4-BE49-F238E27FC236}">
              <a16:creationId xmlns:a16="http://schemas.microsoft.com/office/drawing/2014/main" id="{F998543A-447B-4D87-BEDC-FAB77C954031}"/>
            </a:ext>
          </a:extLst>
        </xdr:cNvPr>
        <xdr:cNvSpPr txBox="1"/>
      </xdr:nvSpPr>
      <xdr:spPr>
        <a:xfrm>
          <a:off x="3929776" y="3686637"/>
          <a:ext cx="781410" cy="1902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100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15</xdr:col>
      <xdr:colOff>115836</xdr:colOff>
      <xdr:row>22</xdr:row>
      <xdr:rowOff>129698</xdr:rowOff>
    </xdr:from>
    <xdr:to>
      <xdr:col>18</xdr:col>
      <xdr:colOff>239449</xdr:colOff>
      <xdr:row>25</xdr:row>
      <xdr:rowOff>119062</xdr:rowOff>
    </xdr:to>
    <xdr:sp macro="" textlink="">
      <xdr:nvSpPr>
        <xdr:cNvPr id="210" name="TextBox 157">
          <a:extLst>
            <a:ext uri="{FF2B5EF4-FFF2-40B4-BE49-F238E27FC236}">
              <a16:creationId xmlns:a16="http://schemas.microsoft.com/office/drawing/2014/main" id="{AA850B80-FA5F-41E1-A658-88A98526D259}"/>
            </a:ext>
          </a:extLst>
        </xdr:cNvPr>
        <xdr:cNvSpPr txBox="1"/>
      </xdr:nvSpPr>
      <xdr:spPr>
        <a:xfrm>
          <a:off x="5378399" y="3570604"/>
          <a:ext cx="1266613" cy="45370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</a:t>
          </a: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3P 66KVA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LVTC 3X70+70 = 40M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200025</xdr:colOff>
      <xdr:row>25</xdr:row>
      <xdr:rowOff>87311</xdr:rowOff>
    </xdr:from>
    <xdr:to>
      <xdr:col>10</xdr:col>
      <xdr:colOff>344577</xdr:colOff>
      <xdr:row>26</xdr:row>
      <xdr:rowOff>83745</xdr:rowOff>
    </xdr:to>
    <xdr:grpSp>
      <xdr:nvGrpSpPr>
        <xdr:cNvPr id="212" name="Group 13">
          <a:extLst>
            <a:ext uri="{FF2B5EF4-FFF2-40B4-BE49-F238E27FC236}">
              <a16:creationId xmlns:a16="http://schemas.microsoft.com/office/drawing/2014/main" id="{63C10AB1-F4E2-416B-848A-FE3A9F8F6EDB}"/>
            </a:ext>
          </a:extLst>
        </xdr:cNvPr>
        <xdr:cNvGrpSpPr/>
      </xdr:nvGrpSpPr>
      <xdr:grpSpPr>
        <a:xfrm>
          <a:off x="3557588" y="3992561"/>
          <a:ext cx="144552" cy="151215"/>
          <a:chOff x="9937028" y="802652"/>
          <a:chExt cx="83991" cy="77961"/>
        </a:xfrm>
      </xdr:grpSpPr>
      <xdr:sp macro="" textlink="">
        <xdr:nvSpPr>
          <xdr:cNvPr id="213" name="Oval 1">
            <a:extLst>
              <a:ext uri="{FF2B5EF4-FFF2-40B4-BE49-F238E27FC236}">
                <a16:creationId xmlns:a16="http://schemas.microsoft.com/office/drawing/2014/main" id="{A4EBF03A-4CD3-16E2-B295-FEFB265A4BD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4" name="Straight Connector 3">
            <a:extLst>
              <a:ext uri="{FF2B5EF4-FFF2-40B4-BE49-F238E27FC236}">
                <a16:creationId xmlns:a16="http://schemas.microsoft.com/office/drawing/2014/main" id="{A59F84A7-86EA-FD93-E0DC-46EE07DCD37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7">
            <a:extLst>
              <a:ext uri="{FF2B5EF4-FFF2-40B4-BE49-F238E27FC236}">
                <a16:creationId xmlns:a16="http://schemas.microsoft.com/office/drawing/2014/main" id="{F2938ABF-E250-BA57-B7DA-5E5FB71A600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234155</xdr:colOff>
      <xdr:row>27</xdr:row>
      <xdr:rowOff>42333</xdr:rowOff>
    </xdr:from>
    <xdr:to>
      <xdr:col>15</xdr:col>
      <xdr:colOff>43656</xdr:colOff>
      <xdr:row>35</xdr:row>
      <xdr:rowOff>1325</xdr:rowOff>
    </xdr:to>
    <xdr:sp macro="" textlink="">
      <xdr:nvSpPr>
        <xdr:cNvPr id="259" name="TextBox 157">
          <a:extLst>
            <a:ext uri="{FF2B5EF4-FFF2-40B4-BE49-F238E27FC236}">
              <a16:creationId xmlns:a16="http://schemas.microsoft.com/office/drawing/2014/main" id="{F4E30960-589C-4110-B76D-3E686ADA01F6}"/>
            </a:ext>
          </a:extLst>
        </xdr:cNvPr>
        <xdr:cNvSpPr txBox="1"/>
      </xdr:nvSpPr>
      <xdr:spPr>
        <a:xfrm>
          <a:off x="3972718" y="4257146"/>
          <a:ext cx="1333501" cy="118533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K2-696/A</a:t>
          </a:r>
        </a:p>
        <a:p>
          <a:pPr algn="l"/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G312-A 100KVA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359832</xdr:colOff>
      <xdr:row>24</xdr:row>
      <xdr:rowOff>63500</xdr:rowOff>
    </xdr:from>
    <xdr:to>
      <xdr:col>13</xdr:col>
      <xdr:colOff>123384</xdr:colOff>
      <xdr:row>25</xdr:row>
      <xdr:rowOff>59932</xdr:rowOff>
    </xdr:to>
    <xdr:grpSp>
      <xdr:nvGrpSpPr>
        <xdr:cNvPr id="192" name="Group 13">
          <a:extLst>
            <a:ext uri="{FF2B5EF4-FFF2-40B4-BE49-F238E27FC236}">
              <a16:creationId xmlns:a16="http://schemas.microsoft.com/office/drawing/2014/main" id="{2082ED50-C770-4CE2-8331-4221BC02AC1A}"/>
            </a:ext>
          </a:extLst>
        </xdr:cNvPr>
        <xdr:cNvGrpSpPr/>
      </xdr:nvGrpSpPr>
      <xdr:grpSpPr>
        <a:xfrm>
          <a:off x="4479395" y="3813969"/>
          <a:ext cx="144552" cy="151213"/>
          <a:chOff x="9937028" y="802652"/>
          <a:chExt cx="83991" cy="77961"/>
        </a:xfrm>
      </xdr:grpSpPr>
      <xdr:sp macro="" textlink="">
        <xdr:nvSpPr>
          <xdr:cNvPr id="193" name="Oval 1">
            <a:extLst>
              <a:ext uri="{FF2B5EF4-FFF2-40B4-BE49-F238E27FC236}">
                <a16:creationId xmlns:a16="http://schemas.microsoft.com/office/drawing/2014/main" id="{7D547B66-FE30-ECFC-B1CD-9529C7E2812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4" name="Straight Connector 3">
            <a:extLst>
              <a:ext uri="{FF2B5EF4-FFF2-40B4-BE49-F238E27FC236}">
                <a16:creationId xmlns:a16="http://schemas.microsoft.com/office/drawing/2014/main" id="{07729CED-806C-D9DC-31E4-01854491BC8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Straight Connector 7">
            <a:extLst>
              <a:ext uri="{FF2B5EF4-FFF2-40B4-BE49-F238E27FC236}">
                <a16:creationId xmlns:a16="http://schemas.microsoft.com/office/drawing/2014/main" id="{D207DC6B-7D0E-1E51-F8F2-DCF1B5E5EDC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359833</xdr:colOff>
      <xdr:row>20</xdr:row>
      <xdr:rowOff>74083</xdr:rowOff>
    </xdr:from>
    <xdr:to>
      <xdr:col>13</xdr:col>
      <xdr:colOff>123385</xdr:colOff>
      <xdr:row>21</xdr:row>
      <xdr:rowOff>70516</xdr:rowOff>
    </xdr:to>
    <xdr:grpSp>
      <xdr:nvGrpSpPr>
        <xdr:cNvPr id="197" name="Group 13">
          <a:extLst>
            <a:ext uri="{FF2B5EF4-FFF2-40B4-BE49-F238E27FC236}">
              <a16:creationId xmlns:a16="http://schemas.microsoft.com/office/drawing/2014/main" id="{17A07547-FAD4-4314-B96C-512EF3F835BF}"/>
            </a:ext>
          </a:extLst>
        </xdr:cNvPr>
        <xdr:cNvGrpSpPr/>
      </xdr:nvGrpSpPr>
      <xdr:grpSpPr>
        <a:xfrm>
          <a:off x="4479396" y="3205427"/>
          <a:ext cx="144552" cy="151214"/>
          <a:chOff x="9937028" y="802652"/>
          <a:chExt cx="83991" cy="77961"/>
        </a:xfrm>
      </xdr:grpSpPr>
      <xdr:sp macro="" textlink="">
        <xdr:nvSpPr>
          <xdr:cNvPr id="198" name="Oval 1">
            <a:extLst>
              <a:ext uri="{FF2B5EF4-FFF2-40B4-BE49-F238E27FC236}">
                <a16:creationId xmlns:a16="http://schemas.microsoft.com/office/drawing/2014/main" id="{89113F4F-3791-FD9F-D995-851E850FD7E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9" name="Straight Connector 3">
            <a:extLst>
              <a:ext uri="{FF2B5EF4-FFF2-40B4-BE49-F238E27FC236}">
                <a16:creationId xmlns:a16="http://schemas.microsoft.com/office/drawing/2014/main" id="{3464894A-D359-79B1-3D8F-48A319A9F11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Straight Connector 7">
            <a:extLst>
              <a:ext uri="{FF2B5EF4-FFF2-40B4-BE49-F238E27FC236}">
                <a16:creationId xmlns:a16="http://schemas.microsoft.com/office/drawing/2014/main" id="{2436C38F-E966-CEEA-EDA7-60754D1A89D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317500</xdr:colOff>
      <xdr:row>20</xdr:row>
      <xdr:rowOff>74084</xdr:rowOff>
    </xdr:from>
    <xdr:to>
      <xdr:col>14</xdr:col>
      <xdr:colOff>81052</xdr:colOff>
      <xdr:row>21</xdr:row>
      <xdr:rowOff>70517</xdr:rowOff>
    </xdr:to>
    <xdr:grpSp>
      <xdr:nvGrpSpPr>
        <xdr:cNvPr id="201" name="Group 13">
          <a:extLst>
            <a:ext uri="{FF2B5EF4-FFF2-40B4-BE49-F238E27FC236}">
              <a16:creationId xmlns:a16="http://schemas.microsoft.com/office/drawing/2014/main" id="{5CBFCA27-46F7-4CDB-88DF-F1834D5EA36B}"/>
            </a:ext>
          </a:extLst>
        </xdr:cNvPr>
        <xdr:cNvGrpSpPr/>
      </xdr:nvGrpSpPr>
      <xdr:grpSpPr>
        <a:xfrm>
          <a:off x="4818063" y="3205428"/>
          <a:ext cx="144552" cy="151214"/>
          <a:chOff x="9937028" y="802652"/>
          <a:chExt cx="83991" cy="77961"/>
        </a:xfrm>
      </xdr:grpSpPr>
      <xdr:sp macro="" textlink="">
        <xdr:nvSpPr>
          <xdr:cNvPr id="203" name="Oval 1">
            <a:extLst>
              <a:ext uri="{FF2B5EF4-FFF2-40B4-BE49-F238E27FC236}">
                <a16:creationId xmlns:a16="http://schemas.microsoft.com/office/drawing/2014/main" id="{F44BAFF0-ABBD-AC7C-8F56-5BF3F33A035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9" name="Straight Connector 3">
            <a:extLst>
              <a:ext uri="{FF2B5EF4-FFF2-40B4-BE49-F238E27FC236}">
                <a16:creationId xmlns:a16="http://schemas.microsoft.com/office/drawing/2014/main" id="{4F9C5643-3E44-BD5D-2C78-047EF63C055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Straight Connector 7">
            <a:extLst>
              <a:ext uri="{FF2B5EF4-FFF2-40B4-BE49-F238E27FC236}">
                <a16:creationId xmlns:a16="http://schemas.microsoft.com/office/drawing/2014/main" id="{887922B1-76FC-2276-F14D-0E7A2767AE1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359833</xdr:colOff>
      <xdr:row>20</xdr:row>
      <xdr:rowOff>146383</xdr:rowOff>
    </xdr:from>
    <xdr:to>
      <xdr:col>13</xdr:col>
      <xdr:colOff>317500</xdr:colOff>
      <xdr:row>20</xdr:row>
      <xdr:rowOff>146384</xdr:rowOff>
    </xdr:to>
    <xdr:cxnSp macro="">
      <xdr:nvCxnSpPr>
        <xdr:cNvPr id="216" name="Straight Connector 215">
          <a:extLst>
            <a:ext uri="{FF2B5EF4-FFF2-40B4-BE49-F238E27FC236}">
              <a16:creationId xmlns:a16="http://schemas.microsoft.com/office/drawing/2014/main" id="{5B27C526-A008-443C-ABC3-8C3A9C58CFF6}"/>
            </a:ext>
          </a:extLst>
        </xdr:cNvPr>
        <xdr:cNvCxnSpPr>
          <a:stCxn id="198" idx="2"/>
          <a:endCxn id="203" idx="2"/>
        </xdr:cNvCxnSpPr>
      </xdr:nvCxnSpPr>
      <xdr:spPr>
        <a:xfrm>
          <a:off x="4476750" y="3141466"/>
          <a:ext cx="338667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344577</xdr:colOff>
      <xdr:row>21</xdr:row>
      <xdr:rowOff>49340</xdr:rowOff>
    </xdr:from>
    <xdr:to>
      <xdr:col>13</xdr:col>
      <xdr:colOff>2</xdr:colOff>
      <xdr:row>26</xdr:row>
      <xdr:rowOff>11445</xdr:rowOff>
    </xdr:to>
    <xdr:cxnSp macro="">
      <xdr:nvCxnSpPr>
        <xdr:cNvPr id="219" name="Straight Connector 218">
          <a:extLst>
            <a:ext uri="{FF2B5EF4-FFF2-40B4-BE49-F238E27FC236}">
              <a16:creationId xmlns:a16="http://schemas.microsoft.com/office/drawing/2014/main" id="{16C74AA8-023F-46A3-8B1F-8E643F06AFBE}"/>
            </a:ext>
          </a:extLst>
        </xdr:cNvPr>
        <xdr:cNvCxnSpPr>
          <a:stCxn id="213" idx="6"/>
          <a:endCxn id="198" idx="3"/>
        </xdr:cNvCxnSpPr>
      </xdr:nvCxnSpPr>
      <xdr:spPr>
        <a:xfrm flipV="1">
          <a:off x="3699494" y="3192590"/>
          <a:ext cx="798425" cy="70293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275166</xdr:colOff>
      <xdr:row>25</xdr:row>
      <xdr:rowOff>84666</xdr:rowOff>
    </xdr:from>
    <xdr:to>
      <xdr:col>10</xdr:col>
      <xdr:colOff>144219</xdr:colOff>
      <xdr:row>26</xdr:row>
      <xdr:rowOff>21691</xdr:rowOff>
    </xdr:to>
    <xdr:grpSp>
      <xdr:nvGrpSpPr>
        <xdr:cNvPr id="2" name="Group 134">
          <a:extLst>
            <a:ext uri="{FF2B5EF4-FFF2-40B4-BE49-F238E27FC236}">
              <a16:creationId xmlns:a16="http://schemas.microsoft.com/office/drawing/2014/main" id="{041BEF08-F548-466B-B8DA-D1CC487E897E}"/>
            </a:ext>
          </a:extLst>
        </xdr:cNvPr>
        <xdr:cNvGrpSpPr/>
      </xdr:nvGrpSpPr>
      <xdr:grpSpPr>
        <a:xfrm>
          <a:off x="3251729" y="3989916"/>
          <a:ext cx="250053" cy="91806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90" name="Isosceles Triangle 118">
            <a:extLst>
              <a:ext uri="{FF2B5EF4-FFF2-40B4-BE49-F238E27FC236}">
                <a16:creationId xmlns:a16="http://schemas.microsoft.com/office/drawing/2014/main" id="{4CAFE16E-3DB4-F0FE-FA2B-4B6C8F777D6F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96" name="Isosceles Triangle 119">
            <a:extLst>
              <a:ext uri="{FF2B5EF4-FFF2-40B4-BE49-F238E27FC236}">
                <a16:creationId xmlns:a16="http://schemas.microsoft.com/office/drawing/2014/main" id="{62B26286-1275-9FFE-5B92-EECDD8AFA1E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17" name="Isosceles Triangle 120">
            <a:extLst>
              <a:ext uri="{FF2B5EF4-FFF2-40B4-BE49-F238E27FC236}">
                <a16:creationId xmlns:a16="http://schemas.microsoft.com/office/drawing/2014/main" id="{133710AC-5FAC-B9CE-9EED-DA18380D4CC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13</xdr:col>
      <xdr:colOff>63500</xdr:colOff>
      <xdr:row>19</xdr:row>
      <xdr:rowOff>63499</xdr:rowOff>
    </xdr:from>
    <xdr:to>
      <xdr:col>13</xdr:col>
      <xdr:colOff>313553</xdr:colOff>
      <xdr:row>20</xdr:row>
      <xdr:rowOff>524</xdr:rowOff>
    </xdr:to>
    <xdr:grpSp>
      <xdr:nvGrpSpPr>
        <xdr:cNvPr id="218" name="Group 134">
          <a:extLst>
            <a:ext uri="{FF2B5EF4-FFF2-40B4-BE49-F238E27FC236}">
              <a16:creationId xmlns:a16="http://schemas.microsoft.com/office/drawing/2014/main" id="{015A99B2-5E6E-4BFB-BFAA-4E1DDF93A5F0}"/>
            </a:ext>
          </a:extLst>
        </xdr:cNvPr>
        <xdr:cNvGrpSpPr/>
      </xdr:nvGrpSpPr>
      <xdr:grpSpPr>
        <a:xfrm>
          <a:off x="4564063" y="3040062"/>
          <a:ext cx="250053" cy="91806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220" name="Isosceles Triangle 118">
            <a:extLst>
              <a:ext uri="{FF2B5EF4-FFF2-40B4-BE49-F238E27FC236}">
                <a16:creationId xmlns:a16="http://schemas.microsoft.com/office/drawing/2014/main" id="{02B512D3-D5A2-78EA-8C82-C3355D7D9C1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21" name="Isosceles Triangle 119">
            <a:extLst>
              <a:ext uri="{FF2B5EF4-FFF2-40B4-BE49-F238E27FC236}">
                <a16:creationId xmlns:a16="http://schemas.microsoft.com/office/drawing/2014/main" id="{1E90CD51-BDED-78A2-9EB8-9E3B6DE2712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22" name="Isosceles Triangle 120">
            <a:extLst>
              <a:ext uri="{FF2B5EF4-FFF2-40B4-BE49-F238E27FC236}">
                <a16:creationId xmlns:a16="http://schemas.microsoft.com/office/drawing/2014/main" id="{439A6BD0-EF8F-1246-CEEA-E987EC71FF6C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12</xdr:col>
      <xdr:colOff>232834</xdr:colOff>
      <xdr:row>17</xdr:row>
      <xdr:rowOff>127000</xdr:rowOff>
    </xdr:from>
    <xdr:to>
      <xdr:col>14</xdr:col>
      <xdr:colOff>252244</xdr:colOff>
      <xdr:row>19</xdr:row>
      <xdr:rowOff>14285</xdr:rowOff>
    </xdr:to>
    <xdr:sp macro="" textlink="">
      <xdr:nvSpPr>
        <xdr:cNvPr id="223" name="TextBox 160">
          <a:extLst>
            <a:ext uri="{FF2B5EF4-FFF2-40B4-BE49-F238E27FC236}">
              <a16:creationId xmlns:a16="http://schemas.microsoft.com/office/drawing/2014/main" id="{CBE9D55D-4E9A-4C95-AC92-244018735BF3}"/>
            </a:ext>
          </a:extLst>
        </xdr:cNvPr>
        <xdr:cNvSpPr txBox="1"/>
      </xdr:nvSpPr>
      <xdr:spPr>
        <a:xfrm>
          <a:off x="4349751" y="2677583"/>
          <a:ext cx="781410" cy="18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chemeClr val="tx1"/>
              </a:solidFill>
              <a:effectLst/>
            </a:rPr>
            <a:t>160 kVA</a:t>
          </a:r>
          <a:endParaRPr lang="en-ID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13</xdr:col>
      <xdr:colOff>63500</xdr:colOff>
      <xdr:row>25</xdr:row>
      <xdr:rowOff>53763</xdr:rowOff>
    </xdr:from>
    <xdr:to>
      <xdr:col>13</xdr:col>
      <xdr:colOff>74083</xdr:colOff>
      <xdr:row>26</xdr:row>
      <xdr:rowOff>95250</xdr:rowOff>
    </xdr:to>
    <xdr:cxnSp macro="">
      <xdr:nvCxnSpPr>
        <xdr:cNvPr id="224" name="Straight Arrow Connector 166">
          <a:extLst>
            <a:ext uri="{FF2B5EF4-FFF2-40B4-BE49-F238E27FC236}">
              <a16:creationId xmlns:a16="http://schemas.microsoft.com/office/drawing/2014/main" id="{8258EC20-9FD6-4E93-B30B-CE65422E195E}"/>
            </a:ext>
          </a:extLst>
        </xdr:cNvPr>
        <xdr:cNvCxnSpPr>
          <a:cxnSpLocks/>
        </xdr:cNvCxnSpPr>
      </xdr:nvCxnSpPr>
      <xdr:spPr>
        <a:xfrm>
          <a:off x="4561417" y="3789680"/>
          <a:ext cx="10583" cy="18965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51108</xdr:colOff>
      <xdr:row>21</xdr:row>
      <xdr:rowOff>70516</xdr:rowOff>
    </xdr:from>
    <xdr:to>
      <xdr:col>13</xdr:col>
      <xdr:colOff>51109</xdr:colOff>
      <xdr:row>24</xdr:row>
      <xdr:rowOff>63500</xdr:rowOff>
    </xdr:to>
    <xdr:cxnSp macro="">
      <xdr:nvCxnSpPr>
        <xdr:cNvPr id="226" name="Straight Connector 225">
          <a:extLst>
            <a:ext uri="{FF2B5EF4-FFF2-40B4-BE49-F238E27FC236}">
              <a16:creationId xmlns:a16="http://schemas.microsoft.com/office/drawing/2014/main" id="{78CFED2B-F659-4280-ACED-CFF4193F4EE6}"/>
            </a:ext>
          </a:extLst>
        </xdr:cNvPr>
        <xdr:cNvCxnSpPr>
          <a:stCxn id="193" idx="0"/>
          <a:endCxn id="198" idx="4"/>
        </xdr:cNvCxnSpPr>
      </xdr:nvCxnSpPr>
      <xdr:spPr>
        <a:xfrm flipV="1">
          <a:off x="4541465" y="3254587"/>
          <a:ext cx="1" cy="44202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107157</xdr:colOff>
      <xdr:row>24</xdr:row>
      <xdr:rowOff>112528</xdr:rowOff>
    </xdr:from>
    <xdr:to>
      <xdr:col>14</xdr:col>
      <xdr:colOff>245714</xdr:colOff>
      <xdr:row>24</xdr:row>
      <xdr:rowOff>119062</xdr:rowOff>
    </xdr:to>
    <xdr:cxnSp macro="">
      <xdr:nvCxnSpPr>
        <xdr:cNvPr id="230" name="Straight Connector 229">
          <a:extLst>
            <a:ext uri="{FF2B5EF4-FFF2-40B4-BE49-F238E27FC236}">
              <a16:creationId xmlns:a16="http://schemas.microsoft.com/office/drawing/2014/main" id="{476A7CBF-DE85-40A7-8716-9E4EC060387A}"/>
            </a:ext>
          </a:extLst>
        </xdr:cNvPr>
        <xdr:cNvCxnSpPr>
          <a:stCxn id="202" idx="1"/>
        </xdr:cNvCxnSpPr>
      </xdr:nvCxnSpPr>
      <xdr:spPr>
        <a:xfrm flipH="1">
          <a:off x="4607720" y="3862997"/>
          <a:ext cx="519557" cy="653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321469</xdr:colOff>
      <xdr:row>24</xdr:row>
      <xdr:rowOff>71438</xdr:rowOff>
    </xdr:from>
    <xdr:to>
      <xdr:col>14</xdr:col>
      <xdr:colOff>79604</xdr:colOff>
      <xdr:row>24</xdr:row>
      <xdr:rowOff>140577</xdr:rowOff>
    </xdr:to>
    <xdr:grpSp>
      <xdr:nvGrpSpPr>
        <xdr:cNvPr id="233" name="Grup 244">
          <a:extLst>
            <a:ext uri="{FF2B5EF4-FFF2-40B4-BE49-F238E27FC236}">
              <a16:creationId xmlns:a16="http://schemas.microsoft.com/office/drawing/2014/main" id="{31F016D6-EB49-40C8-944E-A8FFBDF707AA}"/>
            </a:ext>
          </a:extLst>
        </xdr:cNvPr>
        <xdr:cNvGrpSpPr/>
      </xdr:nvGrpSpPr>
      <xdr:grpSpPr>
        <a:xfrm>
          <a:off x="4822032" y="3821907"/>
          <a:ext cx="139135" cy="69139"/>
          <a:chOff x="13302191" y="2320613"/>
          <a:chExt cx="139135" cy="57233"/>
        </a:xfrm>
      </xdr:grpSpPr>
      <xdr:cxnSp macro="">
        <xdr:nvCxnSpPr>
          <xdr:cNvPr id="234" name="Straight Connector 81">
            <a:extLst>
              <a:ext uri="{FF2B5EF4-FFF2-40B4-BE49-F238E27FC236}">
                <a16:creationId xmlns:a16="http://schemas.microsoft.com/office/drawing/2014/main" id="{F59C75FA-F3F9-C47B-7E6F-2670E9403F63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Straight Connector 82">
            <a:extLst>
              <a:ext uri="{FF2B5EF4-FFF2-40B4-BE49-F238E27FC236}">
                <a16:creationId xmlns:a16="http://schemas.microsoft.com/office/drawing/2014/main" id="{40E80082-3B91-D100-5456-244C39AEC96B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Straight Connector 83">
            <a:extLst>
              <a:ext uri="{FF2B5EF4-FFF2-40B4-BE49-F238E27FC236}">
                <a16:creationId xmlns:a16="http://schemas.microsoft.com/office/drawing/2014/main" id="{BDAE88DA-56B6-81E8-90F3-6A776E8E87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" name="Straight Connector 84">
            <a:extLst>
              <a:ext uri="{FF2B5EF4-FFF2-40B4-BE49-F238E27FC236}">
                <a16:creationId xmlns:a16="http://schemas.microsoft.com/office/drawing/2014/main" id="{AA3EDBA4-E847-A6D0-DCB5-4B19F73D27A1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369093</xdr:colOff>
      <xdr:row>12</xdr:row>
      <xdr:rowOff>83344</xdr:rowOff>
    </xdr:from>
    <xdr:to>
      <xdr:col>15</xdr:col>
      <xdr:colOff>111706</xdr:colOff>
      <xdr:row>17</xdr:row>
      <xdr:rowOff>59532</xdr:rowOff>
    </xdr:to>
    <xdr:sp macro="" textlink="">
      <xdr:nvSpPr>
        <xdr:cNvPr id="238" name="TextBox 157">
          <a:extLst>
            <a:ext uri="{FF2B5EF4-FFF2-40B4-BE49-F238E27FC236}">
              <a16:creationId xmlns:a16="http://schemas.microsoft.com/office/drawing/2014/main" id="{8FB31505-DB75-4C94-9D9E-8F44DF42CAFD}"/>
            </a:ext>
          </a:extLst>
        </xdr:cNvPr>
        <xdr:cNvSpPr txBox="1"/>
      </xdr:nvSpPr>
      <xdr:spPr>
        <a:xfrm>
          <a:off x="4107656" y="1964532"/>
          <a:ext cx="1266613" cy="7620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K2-696/1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G313 160KVA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ctr"/>
          <a:r>
            <a:rPr lang="en-US" sz="800" u="non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ID" sz="800" u="none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55AB8-E910-4ADC-84BC-EF0A9114E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27323BF-46E8-4F0B-9419-6DD5F5285045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AE36D53-7100-42EA-8014-A921ABE1738C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3</xdr:col>
      <xdr:colOff>0</xdr:colOff>
      <xdr:row>6</xdr:row>
      <xdr:rowOff>0</xdr:rowOff>
    </xdr:from>
    <xdr:to>
      <xdr:col>26</xdr:col>
      <xdr:colOff>121595</xdr:colOff>
      <xdr:row>51</xdr:row>
      <xdr:rowOff>60798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8919C84-13FA-CF8F-018A-772F75AEF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032" y="972766"/>
          <a:ext cx="14064574" cy="735654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05E1F0-1A43-4ADA-B09D-335010A99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07E417D-4366-402E-A295-EDC0EAC6A91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4</xdr:col>
      <xdr:colOff>0</xdr:colOff>
      <xdr:row>8</xdr:row>
      <xdr:rowOff>-1</xdr:rowOff>
    </xdr:from>
    <xdr:to>
      <xdr:col>25</xdr:col>
      <xdr:colOff>465175</xdr:colOff>
      <xdr:row>57</xdr:row>
      <xdr:rowOff>-1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E9D16F-1DCD-2AE8-15A1-66ECA0F70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7558" y="1218313"/>
          <a:ext cx="13423605" cy="759784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D%20WAGIYO%2041,5%20KVAkirim.xlsx" TargetMode="External"/><Relationship Id="rId1" Type="http://schemas.openxmlformats.org/officeDocument/2006/relationships/externalLinkPath" Target="/Users/junjun.baheransyah/Downloads/52553_KKO_KKF_PD%20WAGIYO%2041,5%20KVAkirim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D15">
            <v>3</v>
          </cell>
          <cell r="K15">
            <v>3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8" t="s">
        <v>1133</v>
      </c>
      <c r="C4" s="528"/>
      <c r="D4" s="528"/>
      <c r="E4" s="528"/>
      <c r="F4" s="528"/>
      <c r="G4" s="528"/>
      <c r="H4" s="528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9" t="s">
        <v>0</v>
      </c>
      <c r="C7" s="529" t="s">
        <v>1</v>
      </c>
      <c r="D7" s="530" t="s">
        <v>42</v>
      </c>
      <c r="E7" s="530" t="s">
        <v>43</v>
      </c>
      <c r="F7" s="530" t="s">
        <v>1134</v>
      </c>
      <c r="G7" s="531" t="s">
        <v>41</v>
      </c>
      <c r="H7" s="527" t="s">
        <v>1042</v>
      </c>
      <c r="I7" s="527" t="s">
        <v>1136</v>
      </c>
      <c r="J7" s="527" t="s">
        <v>1026</v>
      </c>
      <c r="K7" s="521" t="s">
        <v>1024</v>
      </c>
      <c r="L7" s="522"/>
    </row>
    <row r="8" spans="1:12" ht="15" customHeight="1">
      <c r="B8" s="529"/>
      <c r="C8" s="529"/>
      <c r="D8" s="530"/>
      <c r="E8" s="530"/>
      <c r="F8" s="530"/>
      <c r="G8" s="531"/>
      <c r="H8" s="527"/>
      <c r="I8" s="527"/>
      <c r="J8" s="527"/>
      <c r="K8" s="523"/>
      <c r="L8" s="524"/>
    </row>
    <row r="9" spans="1:12" ht="15" customHeight="1">
      <c r="B9" s="529"/>
      <c r="C9" s="529"/>
      <c r="D9" s="530"/>
      <c r="E9" s="530"/>
      <c r="F9" s="530"/>
      <c r="G9" s="531"/>
      <c r="H9" s="527"/>
      <c r="I9" s="527"/>
      <c r="J9" s="527"/>
      <c r="K9" s="525"/>
      <c r="L9" s="526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66 kVA MCCB 100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13644300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3</v>
      </c>
      <c r="G15" s="41">
        <f ca="1">IF(ISERROR(OFFSET('HARGA SATUAN'!$I$6,MATCH(C15,'HARGA SATUAN'!$C$7:$C$1495,0),0)),"",OFFSET('HARGA SATUAN'!$I$6,MATCH(C15,'HARGA SATUAN'!$C$7:$C$1495,0),0))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38">
        <f t="shared" ca="1" si="2"/>
        <v>3</v>
      </c>
      <c r="G16" s="41">
        <f ca="1">IF(ISERROR(OFFSET('HARGA SATUAN'!$I$6,MATCH(C16,'HARGA SATUAN'!$C$7:$C$1495,0),0)),"",OFFSET('HARGA SATUAN'!$I$6,MATCH(C16,'HARGA SATUAN'!$C$7:$C$1495,0),0))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9</v>
      </c>
      <c r="G17" s="41">
        <f ca="1">IF(ISERROR(OFFSET('HARGA SATUAN'!$I$6,MATCH(C17,'HARGA SATUAN'!$C$7:$C$1495,0),0)),"",OFFSET('HARGA SATUAN'!$I$6,MATCH(C17,'HARGA SATUAN'!$C$7:$C$1495,0),0))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AAAC 150 mm²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38">
        <f t="shared" ca="1" si="2"/>
        <v>200</v>
      </c>
      <c r="G18" s="41">
        <f ca="1">IF(ISERROR(OFFSET('HARGA SATUAN'!$I$6,MATCH(C18,'HARGA SATUAN'!$C$7:$C$1495,0),0)),"",OFFSET('HARGA SATUAN'!$I$6,MATCH(C18,'HARGA SATUAN'!$C$7:$C$1495,0),0))</f>
        <v>25300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NFA2X-T 3x70+1x70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38">
        <f t="shared" ca="1" si="2"/>
        <v>40</v>
      </c>
      <c r="G19" s="41">
        <f ca="1">IF(ISERROR(OFFSET('HARGA SATUAN'!$I$6,MATCH(C19,'HARGA SATUAN'!$C$7:$C$1495,0),0)),"",OFFSET('HARGA SATUAN'!$I$6,MATCH(C19,'HARGA SATUAN'!$C$7:$C$1495,0),0))</f>
        <v>54500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Modem 3G/4G</v>
      </c>
      <c r="D20" s="101" t="str">
        <f ca="1">IF(ISERROR(OFFSET('HARGA SATUAN'!$D$6,MATCH(C20,'HARGA SATUAN'!$C$7:$C$1495,0),0)),"",OFFSET('HARGA SATUAN'!$D$6,MATCH(C20,'HARGA SATUAN'!$C$7:$C$1495,0),0))</f>
        <v>HDW</v>
      </c>
      <c r="E20" s="101" t="str">
        <f ca="1">IF(B20="+","Unit",IF(ISERROR(OFFSET('HARGA SATUAN'!$E$6,MATCH(C20,'HARGA SATUAN'!$C$7:$C$1495,0),0)),"",OFFSET('HARGA SATUAN'!$E$6,MATCH(C20,'HARGA SATUAN'!$C$7:$C$1495,0),0)))</f>
        <v>Unit</v>
      </c>
      <c r="F20" s="138">
        <f t="shared" ca="1" si="2"/>
        <v>1</v>
      </c>
      <c r="G20" s="41">
        <f ca="1">IF(ISERROR(OFFSET('HARGA SATUAN'!$I$6,MATCH(C20,'HARGA SATUAN'!$C$7:$C$1495,0),0)),"",OFFSET('HARGA SATUAN'!$I$6,MATCH(C20,'HARGA SATUAN'!$C$7:$C$1495,0),0))</f>
        <v>1113900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SUMIFS(RAB!$F$14:$F$135,RAB!$C$14:$C$135,C714)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SUMIFS(RAB!$F$14:$F$135,RAB!$C$14:$C$135,C715)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SUMIFS(RAB!$F$14:$F$135,RAB!$C$14:$C$135,C716)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SUMIFS(RAB!$F$14:$F$135,RAB!$C$14:$C$135,C717)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SUMIFS(RAB!$F$14:$F$135,RAB!$C$14:$C$135,C718)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SUMIFS(RAB!$F$14:$F$135,RAB!$C$14:$C$135,C719)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SUMIFS(RAB!$F$14:$F$135,RAB!$C$14:$C$135,C720)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SUMIFS(RAB!$F$14:$F$135,RAB!$C$14:$C$135,C721)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SUMIFS(RAB!$F$14:$F$135,RAB!$C$14:$C$135,C722)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SUMIFS(RAB!$F$14:$F$135,RAB!$C$14:$C$135,C723)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SUMIFS(RAB!$F$14:$F$135,RAB!$C$14:$C$135,C724)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SUMIFS(RAB!$F$14:$F$135,RAB!$C$14:$C$135,C725)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SUMIFS(RAB!$F$14:$F$135,RAB!$C$14:$C$135,C726)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SUMIFS(RAB!$F$14:$F$135,RAB!$C$14:$C$135,C727)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SUMIFS(RAB!$F$14:$F$135,RAB!$C$14:$C$135,C728)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SUMIFS(RAB!$F$14:$F$135,RAB!$C$14:$C$135,C729)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SUMIFS(RAB!$F$14:$F$135,RAB!$C$14:$C$135,C730)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SUMIFS(RAB!$F$14:$F$135,RAB!$C$14:$C$135,C731)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SUMIFS(RAB!$F$14:$F$135,RAB!$C$14:$C$135,C732)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SUMIFS(RAB!$F$14:$F$135,RAB!$C$14:$C$135,C733)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SUMIFS(RAB!$F$14:$F$135,RAB!$C$14:$C$135,C734)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SUMIFS(RAB!$F$14:$F$135,RAB!$C$14:$C$135,C735)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SUMIFS(RAB!$F$14:$F$135,RAB!$C$14:$C$135,C736)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SUMIFS(RAB!$F$14:$F$135,RAB!$C$14:$C$135,C737)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SUMIFS(RAB!$F$14:$F$135,RAB!$C$14:$C$135,C738)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SUMIFS(RAB!$F$14:$F$135,RAB!$C$14:$C$135,C739)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SUMIFS(RAB!$F$14:$F$135,RAB!$C$14:$C$135,C740)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SUMIFS(RAB!$F$14:$F$135,RAB!$C$14:$C$135,C741)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SUMIFS(RAB!$F$14:$F$135,RAB!$C$14:$C$135,C742)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SUMIFS(RAB!$F$14:$F$135,RAB!$C$14:$C$135,C743)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SUMIFS(RAB!$F$14:$F$135,RAB!$C$14:$C$135,C744)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SUMIFS(RAB!$F$14:$F$135,RAB!$C$14:$C$135,C745)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SUMIFS(RAB!$F$14:$F$135,RAB!$C$14:$C$135,C746)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SUMIFS(RAB!$F$14:$F$135,RAB!$C$14:$C$135,C747)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SUMIFS(RAB!$F$14:$F$135,RAB!$C$14:$C$135,C748)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SUMIFS(RAB!$F$14:$F$135,RAB!$C$14:$C$135,C749)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SUMIFS(RAB!$F$14:$F$135,RAB!$C$14:$C$135,C750)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SUMIFS(RAB!$F$14:$F$135,RAB!$C$14:$C$135,C751)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SUMIFS(RAB!$F$14:$F$135,RAB!$C$14:$C$135,C752)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SUMIFS(RAB!$F$14:$F$135,RAB!$C$14:$C$135,C753)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SUMIFS(RAB!$F$14:$F$135,RAB!$C$14:$C$135,C754)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SUMIFS(RAB!$F$14:$F$135,RAB!$C$14:$C$135,C755)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SUMIFS(RAB!$F$14:$F$135,RAB!$C$14:$C$135,C756)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SUMIFS(RAB!$F$14:$F$135,RAB!$C$14:$C$135,C757)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SUMIFS(RAB!$F$14:$F$135,RAB!$C$14:$C$135,C758)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SUMIFS(RAB!$F$14:$F$135,RAB!$C$14:$C$135,C759)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SUMIFS(RAB!$F$14:$F$135,RAB!$C$14:$C$135,C760)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SUMIFS(RAB!$F$14:$F$135,RAB!$C$14:$C$135,C761)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SUMIFS(RAB!$F$14:$F$135,RAB!$C$14:$C$135,C762)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SUMIFS(RAB!$F$14:$F$135,RAB!$C$14:$C$135,C763)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SUMIFS(RAB!$F$14:$F$135,RAB!$C$14:$C$135,C764)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SUMIFS(RAB!$F$14:$F$135,RAB!$C$14:$C$135,C765)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SUMIFS(RAB!$F$14:$F$135,RAB!$C$14:$C$135,C766)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SUMIFS(RAB!$F$14:$F$135,RAB!$C$14:$C$135,C767)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SUMIFS(RAB!$F$14:$F$135,RAB!$C$14:$C$135,C768)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SUMIFS(RAB!$F$14:$F$135,RAB!$C$14:$C$135,C769)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SUMIFS(RAB!$F$14:$F$135,RAB!$C$14:$C$135,C770)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SUMIFS(RAB!$F$14:$F$135,RAB!$C$14:$C$135,C771)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SUMIFS(RAB!$F$14:$F$135,RAB!$C$14:$C$135,C772)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SUMIFS(RAB!$F$14:$F$135,RAB!$C$14:$C$135,C773)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SUMIFS(RAB!$F$14:$F$135,RAB!$C$14:$C$135,C774)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SUMIFS(RAB!$F$14:$F$135,RAB!$C$14:$C$135,C775)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SUMIFS(RAB!$F$14:$F$135,RAB!$C$14:$C$135,C776)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SUMIFS(RAB!$F$14:$F$135,RAB!$C$14:$C$135,C777)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SUMIFS(RAB!$F$14:$F$135,RAB!$C$14:$C$135,C778)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SUMIFS(RAB!$F$14:$F$135,RAB!$C$14:$C$135,C779)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SUMIFS(RAB!$F$14:$F$135,RAB!$C$14:$C$135,C780)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SUMIFS(RAB!$F$14:$F$135,RAB!$C$14:$C$135,C781)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SUMIFS(RAB!$F$14:$F$135,RAB!$C$14:$C$135,C782)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SUMIFS(RAB!$F$14:$F$135,RAB!$C$14:$C$135,C783)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SUMIFS(RAB!$F$14:$F$135,RAB!$C$14:$C$135,C784)</f>
        <v>1</v>
      </c>
      <c r="E784" s="26">
        <f t="shared" ca="1" si="34"/>
        <v>1</v>
      </c>
      <c r="F784" s="26">
        <f ca="1">IF(D784=0,0,SUM($E$713:E784))</f>
        <v>2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SUMIFS(RAB!$F$14:$F$135,RAB!$C$14:$C$135,C785)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SUMIFS(RAB!$F$14:$F$135,RAB!$C$14:$C$135,C786)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SUMIFS(RAB!$F$14:$F$135,RAB!$C$14:$C$135,C787)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SUMIFS(RAB!$F$14:$F$135,RAB!$C$14:$C$135,C788)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SUMIFS(RAB!$F$14:$F$135,RAB!$C$14:$C$135,C789)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SUMIFS(RAB!$F$14:$F$135,RAB!$C$14:$C$135,C790)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SUMIFS(RAB!$F$14:$F$135,RAB!$C$14:$C$135,C791)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SUMIFS(RAB!$F$14:$F$135,RAB!$C$14:$C$135,C792)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SUMIFS(RAB!$F$14:$F$135,RAB!$C$14:$C$135,C793)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SUMIFS(RAB!$F$14:$F$135,RAB!$C$14:$C$135,C794)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SUMIFS(RAB!$F$14:$F$135,RAB!$C$14:$C$135,C795)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SUMIFS(RAB!$F$14:$F$135,RAB!$C$14:$C$135,C796)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SUMIFS(RAB!$F$14:$F$135,RAB!$C$14:$C$135,C797)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SUMIFS(RAB!$F$14:$F$135,RAB!$C$14:$C$135,C798)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SUMIFS(RAB!$F$14:$F$135,RAB!$C$14:$C$135,C799)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SUMIFS(RAB!$F$14:$F$135,RAB!$C$14:$C$135,C800)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SUMIFS(RAB!$F$14:$F$135,RAB!$C$14:$C$135,C801)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SUMIFS(RAB!$F$14:$F$135,RAB!$C$14:$C$135,C802)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SUMIFS(RAB!$F$14:$F$135,RAB!$C$14:$C$135,C803)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SUMIFS(RAB!$F$14:$F$135,RAB!$C$14:$C$135,C804)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SUMIFS(RAB!$F$14:$F$135,RAB!$C$14:$C$135,C805)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SUMIFS(RAB!$F$14:$F$135,RAB!$C$14:$C$135,C806)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SUMIFS(RAB!$F$14:$F$135,RAB!$C$14:$C$135,C807)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SUMIFS(RAB!$F$14:$F$135,RAB!$C$14:$C$135,C808)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SUMIFS(RAB!$F$14:$F$135,RAB!$C$14:$C$135,C809)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SUMIFS(RAB!$F$14:$F$135,RAB!$C$14:$C$135,C810)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SUMIFS(RAB!$F$14:$F$135,RAB!$C$14:$C$135,C811)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SUMIFS(RAB!$F$14:$F$135,RAB!$C$14:$C$135,C812)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SUMIFS(RAB!$F$14:$F$135,RAB!$C$14:$C$135,C813)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SUMIFS(RAB!$F$14:$F$135,RAB!$C$14:$C$135,C814)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SUMIFS(RAB!$F$14:$F$135,RAB!$C$14:$C$135,C815)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SUMIFS(RAB!$F$14:$F$135,RAB!$C$14:$C$135,C816)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SUMIFS(RAB!$F$14:$F$135,RAB!$C$14:$C$135,C817)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SUMIFS(RAB!$F$14:$F$135,RAB!$C$14:$C$135,C818)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SUMIFS(RAB!$F$14:$F$135,RAB!$C$14:$C$135,C819)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SUMIFS(RAB!$F$14:$F$135,RAB!$C$14:$C$135,C820)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SUMIFS(RAB!$F$14:$F$135,RAB!$C$14:$C$135,C821)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SUMIFS(RAB!$F$14:$F$135,RAB!$C$14:$C$135,C822)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SUMIFS(RAB!$F$14:$F$135,RAB!$C$14:$C$135,C823)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SUMIFS(RAB!$F$14:$F$135,RAB!$C$14:$C$135,C824)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SUMIFS(RAB!$F$14:$F$135,RAB!$C$14:$C$135,C825)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SUMIFS(RAB!$F$14:$F$135,RAB!$C$14:$C$135,C826)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SUMIFS(RAB!$F$14:$F$135,RAB!$C$14:$C$135,C827)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SUMIFS(RAB!$F$14:$F$135,RAB!$C$14:$C$135,C828)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SUMIFS(RAB!$F$14:$F$135,RAB!$C$14:$C$135,C829)</f>
        <v>9</v>
      </c>
      <c r="E829" s="26">
        <f t="shared" ca="1" si="34"/>
        <v>1</v>
      </c>
      <c r="F829" s="26">
        <f ca="1">IF(D829=0,0,SUM($E$713:E829))</f>
        <v>6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SUMIFS(RAB!$F$14:$F$135,RAB!$C$14:$C$135,C830)</f>
        <v>200</v>
      </c>
      <c r="E830" s="26">
        <f t="shared" ca="1" si="34"/>
        <v>1</v>
      </c>
      <c r="F830" s="26">
        <f ca="1">IF(D830=0,0,SUM($E$713:E830))</f>
        <v>7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SUMIFS(RAB!$F$14:$F$135,RAB!$C$14:$C$135,C831)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SUMIFS(RAB!$F$14:$F$135,RAB!$C$14:$C$135,C832)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SUMIFS(RAB!$F$14:$F$135,RAB!$C$14:$C$135,C833)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SUMIFS(RAB!$F$14:$F$135,RAB!$C$14:$C$135,C834)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SUMIFS(RAB!$F$14:$F$135,RAB!$C$14:$C$135,C835)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SUMIFS(RAB!$F$14:$F$135,RAB!$C$14:$C$135,C836)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SUMIFS(RAB!$F$14:$F$135,RAB!$C$14:$C$135,C837)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SUMIFS(RAB!$F$14:$F$135,RAB!$C$14:$C$135,C838)</f>
        <v>40</v>
      </c>
      <c r="E838" s="26">
        <f t="shared" ca="1" si="34"/>
        <v>1</v>
      </c>
      <c r="F838" s="26">
        <f ca="1">IF(D838=0,0,SUM($E$713:E838))</f>
        <v>8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SUMIFS(RAB!$F$14:$F$135,RAB!$C$14:$C$135,C839)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SUMIFS(RAB!$F$14:$F$135,RAB!$C$14:$C$135,C840)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SUMIFS(RAB!$F$14:$F$135,RAB!$C$14:$C$135,C841)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SUMIFS(RAB!$F$14:$F$135,RAB!$C$14:$C$135,C842)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SUMIFS(RAB!$F$14:$F$135,RAB!$C$14:$C$135,C843)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SUMIFS(RAB!$F$14:$F$135,RAB!$C$14:$C$135,C844)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SUMIFS(RAB!$F$14:$F$135,RAB!$C$14:$C$135,C845)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SUMIFS(RAB!$F$14:$F$135,RAB!$C$14:$C$135,C846)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SUMIFS(RAB!$F$14:$F$135,RAB!$C$14:$C$135,C847)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SUMIFS(RAB!$F$14:$F$135,RAB!$C$14:$C$135,C848)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SUMIFS(RAB!$F$14:$F$135,RAB!$C$14:$C$135,C849)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SUMIFS(RAB!$F$14:$F$135,RAB!$C$14:$C$135,C850)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SUMIFS(RAB!$F$14:$F$135,RAB!$C$14:$C$135,C851)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SUMIFS(RAB!$F$14:$F$135,RAB!$C$14:$C$135,C852)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SUMIFS(RAB!$F$14:$F$135,RAB!$C$14:$C$135,C853)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SUMIFS(RAB!$F$14:$F$135,RAB!$C$14:$C$135,C854)</f>
        <v>1</v>
      </c>
      <c r="E854" s="26">
        <f t="shared" ca="1" si="35"/>
        <v>1</v>
      </c>
      <c r="F854" s="26">
        <f ca="1">IF(D854=0,0,SUM($E$713:E854))</f>
        <v>9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SUMIFS(RAB!$F$14:$F$135,RAB!$C$14:$C$135,C855)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SUMIFS(RAB!$F$14:$F$135,RAB!$C$14:$C$135,C856)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SUMIFS(RAB!$F$14:$F$135,RAB!$C$14:$C$135,C857)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SUMIFS(RAB!$F$14:$F$135,RAB!$C$14:$C$135,C858)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SUMIFS(RAB!$F$14:$F$135,RAB!$C$14:$C$135,C859)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SUMIFS(RAB!$F$14:$F$135,RAB!$C$14:$C$135,C860)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SUMIFS(RAB!$F$14:$F$135,RAB!$C$14:$C$135,C861)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SUMIFS(RAB!$F$14:$F$135,RAB!$C$14:$C$135,C862)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SUMIFS(RAB!$F$14:$F$135,RAB!$C$14:$C$135,C863)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SUMIFS(RAB!$F$14:$F$135,RAB!$C$14:$C$135,C864)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SUMIFS(RAB!$F$14:$F$135,RAB!$C$14:$C$135,C865)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SUMIFS(RAB!$F$14:$F$135,RAB!$C$14:$C$135,C866)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SUMIFS(RAB!$F$14:$F$135,RAB!$C$14:$C$135,C867)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SUMIFS(RAB!$F$14:$F$135,RAB!$C$14:$C$135,C868)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SUMIFS(RAB!$F$14:$F$135,RAB!$C$14:$C$135,C869)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SUMIFS(RAB!$F$14:$F$135,RAB!$C$14:$C$135,C870)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SUMIFS(RAB!$F$14:$F$135,RAB!$C$14:$C$135,C871)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SUMIFS(RAB!$F$14:$F$135,RAB!$C$14:$C$135,C872)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SUMIFS(RAB!$F$14:$F$135,RAB!$C$14:$C$135,C873)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SUMIFS(RAB!$F$14:$F$135,RAB!$C$14:$C$135,C874)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SUMIFS(RAB!$F$14:$F$135,RAB!$C$14:$C$135,C875)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SUMIFS(RAB!$F$14:$F$135,RAB!$C$14:$C$135,C876)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SUMIFS(RAB!$F$14:$F$135,RAB!$C$14:$C$135,C877)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SUMIFS(RAB!$F$14:$F$135,RAB!$C$14:$C$135,C878)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SUMIFS(RAB!$F$14:$F$135,RAB!$C$14:$C$135,C879)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SUMIFS(RAB!$F$14:$F$135,RAB!$C$14:$C$135,C880)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SUMIFS(RAB!$F$14:$F$135,RAB!$C$14:$C$135,C881)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SUMIFS(RAB!$F$14:$F$135,RAB!$C$14:$C$135,C882)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SUMIFS(RAB!$F$14:$F$135,RAB!$C$14:$C$135,C883)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SUMIFS(RAB!$F$14:$F$135,RAB!$C$14:$C$135,C884)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SUMIFS(RAB!$F$14:$F$135,RAB!$C$14:$C$135,C885)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SUMIFS(RAB!$F$14:$F$135,RAB!$C$14:$C$135,C886)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SUMIFS(RAB!$F$14:$F$135,RAB!$C$14:$C$135,C887)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SUMIFS(RAB!$F$14:$F$135,RAB!$C$14:$C$135,C888)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SUMIFS(RAB!$F$14:$F$135,RAB!$C$14:$C$135,C889)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SUMIFS(RAB!$F$14:$F$135,RAB!$C$14:$C$135,C890)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SUMIFS(RAB!$F$14:$F$135,RAB!$C$14:$C$135,C891)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SUMIFS(RAB!$F$14:$F$135,RAB!$C$14:$C$135,C892)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SUMIFS(RAB!$F$14:$F$135,RAB!$C$14:$C$135,C893)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SUMIFS(RAB!$F$14:$F$135,RAB!$C$14:$C$135,C894)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SUMIFS(RAB!$F$14:$F$135,RAB!$C$14:$C$135,C895)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SUMIFS(RAB!$F$14:$F$135,RAB!$C$14:$C$135,C896)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SUMIFS(RAB!$F$14:$F$135,RAB!$C$14:$C$135,C897)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SUMIFS(RAB!$F$14:$F$135,RAB!$C$14:$C$135,C898)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SUMIFS(RAB!$F$14:$F$135,RAB!$C$14:$C$135,C899)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SUMIFS(RAB!$F$14:$F$135,RAB!$C$14:$C$135,C900)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SUMIFS(RAB!$F$14:$F$135,RAB!$C$14:$C$135,C901)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SUMIFS(RAB!$F$14:$F$135,RAB!$C$14:$C$135,C902)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SUMIFS(RAB!$F$14:$F$135,RAB!$C$14:$C$135,C903)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SUMIFS(RAB!$F$14:$F$135,RAB!$C$14:$C$135,C904)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SUMIFS(RAB!$F$14:$F$135,RAB!$C$14:$C$135,C905)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SUMIFS(RAB!$F$14:$F$135,RAB!$C$14:$C$135,C906)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SUMIFS(RAB!$F$14:$F$135,RAB!$C$14:$C$135,C907)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SUMIFS(RAB!$F$14:$F$135,RAB!$C$14:$C$135,C908)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SUMIFS(RAB!$F$14:$F$135,RAB!$C$14:$C$135,C909)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SUMIFS(RAB!$F$14:$F$135,RAB!$C$14:$C$135,C910)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SUMIFS(RAB!$F$14:$F$135,RAB!$C$14:$C$135,C911)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SUMIFS(RAB!$F$14:$F$135,RAB!$C$14:$C$135,C912)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SUMIFS(RAB!$F$14:$F$135,RAB!$C$14:$C$135,C913)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SUMIFS(RAB!$F$14:$F$135,RAB!$C$14:$C$135,C914)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SUMIFS(RAB!$F$14:$F$135,RAB!$C$14:$C$135,C915)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SUMIFS(RAB!$F$14:$F$135,RAB!$C$14:$C$135,C916)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SUMIFS(RAB!$F$14:$F$135,RAB!$C$14:$C$135,C917)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SUMIFS(RAB!$F$14:$F$135,RAB!$C$14:$C$135,C918)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SUMIFS(RAB!$F$14:$F$135,RAB!$C$14:$C$135,C919)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SUMIFS(RAB!$F$14:$F$135,RAB!$C$14:$C$135,C920)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SUMIFS(RAB!$F$14:$F$135,RAB!$C$14:$C$135,C921)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SUMIFS(RAB!$F$14:$F$135,RAB!$C$14:$C$135,C922)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SUMIFS(RAB!$F$14:$F$135,RAB!$C$14:$C$135,C923)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SUMIFS(RAB!$F$14:$F$135,RAB!$C$14:$C$135,C924)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SUMIFS(RAB!$F$14:$F$135,RAB!$C$14:$C$135,C925)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SUMIFS(RAB!$F$14:$F$135,RAB!$C$14:$C$135,C926)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SUMIFS(RAB!$F$14:$F$135,RAB!$C$14:$C$135,C927)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SUMIFS(RAB!$F$14:$F$135,RAB!$C$14:$C$135,C928)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SUMIFS(RAB!$F$14:$F$135,RAB!$C$14:$C$135,C929)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SUMIFS(RAB!$F$14:$F$135,RAB!$C$14:$C$135,C930)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SUMIFS(RAB!$F$14:$F$135,RAB!$C$14:$C$135,C931)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SUMIFS(RAB!$F$14:$F$135,RAB!$C$14:$C$135,C932)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SUMIFS(RAB!$F$14:$F$135,RAB!$C$14:$C$135,C933)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SUMIFS(RAB!$F$14:$F$135,RAB!$C$14:$C$135,C934)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SUMIFS(RAB!$F$14:$F$135,RAB!$C$14:$C$135,C935)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SUMIFS(RAB!$F$14:$F$135,RAB!$C$14:$C$135,C936)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SUMIFS(RAB!$F$14:$F$135,RAB!$C$14:$C$135,C937)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SUMIFS(RAB!$F$14:$F$135,RAB!$C$14:$C$135,C938)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SUMIFS(RAB!$F$14:$F$135,RAB!$C$14:$C$135,C939)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SUMIFS(RAB!$F$14:$F$135,RAB!$C$14:$C$135,C940)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SUMIFS(RAB!$F$14:$F$135,RAB!$C$14:$C$135,C941)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SUMIFS(RAB!$F$14:$F$135,RAB!$C$14:$C$135,C942)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SUMIFS(RAB!$F$14:$F$135,RAB!$C$14:$C$135,C943)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SUMIFS(RAB!$F$14:$F$135,RAB!$C$14:$C$135,C944)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SUMIFS(RAB!$F$14:$F$135,RAB!$C$14:$C$135,C945)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SUMIFS(RAB!$F$14:$F$135,RAB!$C$14:$C$135,C946)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SUMIFS(RAB!$F$14:$F$135,RAB!$C$14:$C$135,C947)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SUMIFS(RAB!$F$14:$F$135,RAB!$C$14:$C$135,C948)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SUMIFS(RAB!$F$14:$F$135,RAB!$C$14:$C$135,C949)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SUMIFS(RAB!$F$14:$F$135,RAB!$C$14:$C$135,C950)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SUMIFS(RAB!$F$14:$F$135,RAB!$C$14:$C$135,C951)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SUMIFS(RAB!$F$14:$F$135,RAB!$C$14:$C$135,C952)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SUMIFS(RAB!$F$14:$F$135,RAB!$C$14:$C$135,C953)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SUMIFS(RAB!$F$14:$F$135,RAB!$C$14:$C$135,C954)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SUMIFS(RAB!$F$14:$F$135,RAB!$C$14:$C$135,C955)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SUMIFS(RAB!$F$14:$F$135,RAB!$C$14:$C$135,C956)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SUMIFS(RAB!$F$14:$F$135,RAB!$C$14:$C$135,C957)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SUMIFS(RAB!$F$14:$F$135,RAB!$C$14:$C$135,C958)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SUMIFS(RAB!$F$14:$F$135,RAB!$C$14:$C$135,C959)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SUMIFS(RAB!$F$14:$F$135,RAB!$C$14:$C$135,C960)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SUMIFS(RAB!$F$14:$F$135,RAB!$C$14:$C$135,C961)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SUMIFS(RAB!$F$14:$F$135,RAB!$C$14:$C$135,C962)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SUMIFS(RAB!$F$14:$F$135,RAB!$C$14:$C$135,C963)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SUMIFS(RAB!$F$14:$F$135,RAB!$C$14:$C$135,C964)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SUMIFS(RAB!$F$14:$F$135,RAB!$C$14:$C$135,C965)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SUMIFS(RAB!$F$14:$F$135,RAB!$C$14:$C$135,C966)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SUMIFS(RAB!$F$14:$F$135,RAB!$C$14:$C$135,C967)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SUMIFS(RAB!$F$14:$F$135,RAB!$C$14:$C$135,C968)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SUMIFS(RAB!$F$14:$F$135,RAB!$C$14:$C$135,C969)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SUMIFS(RAB!$F$14:$F$135,RAB!$C$14:$C$135,C970)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SUMIFS(RAB!$F$14:$F$135,RAB!$C$14:$C$135,C971)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SUMIFS(RAB!$F$14:$F$135,RAB!$C$14:$C$135,C972)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SUMIFS(RAB!$F$14:$F$135,RAB!$C$14:$C$135,C973)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SUMIFS(RAB!$F$14:$F$135,RAB!$C$14:$C$135,C974)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SUMIFS(RAB!$F$14:$F$135,RAB!$C$14:$C$135,C975)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SUMIFS(RAB!$F$14:$F$135,RAB!$C$14:$C$135,C976)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SUMIFS(RAB!$F$14:$F$135,RAB!$C$14:$C$135,C977)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SUMIFS(RAB!$F$14:$F$135,RAB!$C$14:$C$135,C978)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SUMIFS(RAB!$F$14:$F$135,RAB!$C$14:$C$135,C979)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SUMIFS(RAB!$F$14:$F$135,RAB!$C$14:$C$135,C980)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SUMIFS(RAB!$F$14:$F$135,RAB!$C$14:$C$135,C981)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SUMIFS(RAB!$F$14:$F$135,RAB!$C$14:$C$135,C982)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SUMIFS(RAB!$F$14:$F$135,RAB!$C$14:$C$135,C983)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SUMIFS(RAB!$F$14:$F$135,RAB!$C$14:$C$135,C984)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SUMIFS(RAB!$F$14:$F$135,RAB!$C$14:$C$135,C985)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SUMIFS(RAB!$F$14:$F$135,RAB!$C$14:$C$135,C986)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SUMIFS(RAB!$F$14:$F$135,RAB!$C$14:$C$135,C987)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SUMIFS(RAB!$F$14:$F$135,RAB!$C$14:$C$135,C988)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SUMIFS(RAB!$F$14:$F$135,RAB!$C$14:$C$135,C989)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SUMIFS(RAB!$F$14:$F$135,RAB!$C$14:$C$135,C990)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SUMIFS(RAB!$F$14:$F$135,RAB!$C$14:$C$135,C991)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SUMIFS(RAB!$F$14:$F$135,RAB!$C$14:$C$135,C992)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SUMIFS(RAB!$F$14:$F$135,RAB!$C$14:$C$135,C993)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SUMIFS(RAB!$F$14:$F$135,RAB!$C$14:$C$135,C994)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SUMIFS(RAB!$F$14:$F$135,RAB!$C$14:$C$135,C995)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SUMIFS(RAB!$F$14:$F$135,RAB!$C$14:$C$135,C996)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SUMIFS(RAB!$F$14:$F$135,RAB!$C$14:$C$135,C997)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SUMIFS(RAB!$F$14:$F$135,RAB!$C$14:$C$135,C998)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SUMIFS(RAB!$F$14:$F$135,RAB!$C$14:$C$135,C999)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SUMIFS(RAB!$F$14:$F$135,RAB!$C$14:$C$135,C1000)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SUMIFS(RAB!$F$14:$F$135,RAB!$C$14:$C$135,C1001)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SUMIFS(RAB!$F$14:$F$135,RAB!$C$14:$C$135,C1002)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SUMIFS(RAB!$F$14:$F$135,RAB!$C$14:$C$135,C1003)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SUMIFS(RAB!$F$14:$F$135,RAB!$C$14:$C$135,C1004)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SUMIFS(RAB!$F$14:$F$135,RAB!$C$14:$C$135,C1005)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SUMIFS(RAB!$F$14:$F$135,RAB!$C$14:$C$135,C1006)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SUMIFS(RAB!$F$14:$F$135,RAB!$C$14:$C$135,C1007)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SUMIFS(RAB!$F$14:$F$135,RAB!$C$14:$C$135,C1008)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SUMIFS(RAB!$F$14:$F$135,RAB!$C$14:$C$135,C1009)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SUMIFS(RAB!$F$14:$F$135,RAB!$C$14:$C$135,C1010)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SUMIFS(RAB!$F$14:$F$135,RAB!$C$14:$C$135,C1011)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SUMIFS(RAB!$F$14:$F$135,RAB!$C$14:$C$135,C1012)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SUMIFS(RAB!$F$14:$F$135,RAB!$C$14:$C$135,C1013)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SUMIFS(RAB!$F$14:$F$135,RAB!$C$14:$C$135,C1014)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SUMIFS(RAB!$F$14:$F$135,RAB!$C$14:$C$135,C1015)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SUMIFS(RAB!$F$14:$F$135,RAB!$C$14:$C$135,C1016)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SUMIFS(RAB!$F$14:$F$135,RAB!$C$14:$C$135,C1017)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SUMIFS(RAB!$F$14:$F$135,RAB!$C$14:$C$135,C1018)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SUMIFS(RAB!$F$14:$F$135,RAB!$C$14:$C$135,C1019)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SUMIFS(RAB!$F$14:$F$135,RAB!$C$14:$C$135,C1020)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SUMIFS(RAB!$F$14:$F$135,RAB!$C$14:$C$135,C1021)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SUMIFS(RAB!$F$14:$F$135,RAB!$C$14:$C$135,C1022)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SUMIFS(RAB!$F$14:$F$135,RAB!$C$14:$C$135,C1023)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SUMIFS(RAB!$F$14:$F$135,RAB!$C$14:$C$135,C1024)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SUMIFS(RAB!$F$14:$F$135,RAB!$C$14:$C$135,C1025)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SUMIFS(RAB!$F$14:$F$135,RAB!$C$14:$C$135,C1026)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SUMIFS(RAB!$F$14:$F$135,RAB!$C$14:$C$135,C1027)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SUMIFS(RAB!$F$14:$F$135,RAB!$C$14:$C$135,C1028)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SUMIFS(RAB!$F$14:$F$135,RAB!$C$14:$C$135,C1029)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SUMIFS(RAB!$F$14:$F$135,RAB!$C$14:$C$135,C1030)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SUMIFS(RAB!$F$14:$F$135,RAB!$C$14:$C$135,C1031)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SUMIFS(RAB!$F$14:$F$135,RAB!$C$14:$C$135,C1032)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SUMIFS(RAB!$F$14:$F$135,RAB!$C$14:$C$135,C1033)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SUMIFS(RAB!$F$14:$F$135,RAB!$C$14:$C$135,C1034)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SUMIFS(RAB!$F$14:$F$135,RAB!$C$14:$C$135,C1035)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SUMIFS(RAB!$F$14:$F$135,RAB!$C$14:$C$135,C1036)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SUMIFS(RAB!$F$14:$F$135,RAB!$C$14:$C$135,C1037)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SUMIFS(RAB!$F$14:$F$135,RAB!$C$14:$C$135,C1038)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SUMIFS(RAB!$F$14:$F$135,RAB!$C$14:$C$135,C1039)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SUMIFS(RAB!$F$14:$F$135,RAB!$C$14:$C$135,C1040)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SUMIFS(RAB!$F$14:$F$135,RAB!$C$14:$C$135,C1041)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SUMIFS(RAB!$F$14:$F$135,RAB!$C$14:$C$135,C1042)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SUMIFS(RAB!$F$14:$F$135,RAB!$C$14:$C$135,C1043)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SUMIFS(RAB!$F$14:$F$135,RAB!$C$14:$C$135,C1044)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SUMIFS(RAB!$F$14:$F$135,RAB!$C$14:$C$135,C1045)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SUMIFS(RAB!$F$14:$F$135,RAB!$C$14:$C$135,C1046)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SUMIFS(RAB!$F$14:$F$135,RAB!$C$14:$C$135,C1047)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SUMIFS(RAB!$F$14:$F$135,RAB!$C$14:$C$135,C1048)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SUMIFS(RAB!$F$14:$F$135,RAB!$C$14:$C$135,C1049)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SUMIFS(RAB!$F$14:$F$135,RAB!$C$14:$C$135,C1050)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SUMIFS(RAB!$F$14:$F$135,RAB!$C$14:$C$135,C1051)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SUMIFS(RAB!$F$14:$F$135,RAB!$C$14:$C$135,C1052)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SUMIFS(RAB!$F$14:$F$135,RAB!$C$14:$C$135,C1053)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SUMIFS(RAB!$F$14:$F$135,RAB!$C$14:$C$135,C1054)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SUMIFS(RAB!$F$14:$F$135,RAB!$C$14:$C$135,C1055)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SUMIFS(RAB!$F$14:$F$135,RAB!$C$14:$C$135,C1056)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SUMIFS(RAB!$F$14:$F$135,RAB!$C$14:$C$135,C1057)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SUMIFS(RAB!$F$14:$F$135,RAB!$C$14:$C$135,C1058)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SUMIFS(RAB!$F$14:$F$135,RAB!$C$14:$C$135,C1059)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SUMIFS(RAB!$F$14:$F$135,RAB!$C$14:$C$135,C1060)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SUMIFS(RAB!$F$14:$F$135,RAB!$C$14:$C$135,C1061)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SUMIFS(RAB!$F$14:$F$135,RAB!$C$14:$C$135,C1062)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SUMIFS(RAB!$F$14:$F$135,RAB!$C$14:$C$135,C1063)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SUMIFS(RAB!$F$14:$F$135,RAB!$C$14:$C$135,C1064)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SUMIFS(RAB!$F$14:$F$135,RAB!$C$14:$C$135,C1065)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SUMIFS(RAB!$F$14:$F$135,RAB!$C$14:$C$135,C1066)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SUMIFS(RAB!$F$14:$F$135,RAB!$C$14:$C$135,C1067)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SUMIFS(RAB!$F$14:$F$135,RAB!$C$14:$C$135,C1068)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SUMIFS(RAB!$F$14:$F$135,RAB!$C$14:$C$135,C1069)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SUMIFS(RAB!$F$14:$F$135,RAB!$C$14:$C$135,C1070)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SUMIFS(RAB!$F$14:$F$135,RAB!$C$14:$C$135,C1071)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SUMIFS(RAB!$F$14:$F$135,RAB!$C$14:$C$135,C1072)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SUMIFS(RAB!$F$14:$F$135,RAB!$C$14:$C$135,C1073)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SUMIFS(RAB!$F$14:$F$135,RAB!$C$14:$C$135,C1074)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SUMIFS(RAB!$F$14:$F$135,RAB!$C$14:$C$135,C1075)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SUMIFS(RAB!$F$14:$F$135,RAB!$C$14:$C$135,C1076)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SUMIFS(RAB!$F$14:$F$135,RAB!$C$14:$C$135,C1077)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SUMIFS(RAB!$F$14:$F$135,RAB!$C$14:$C$135,C1078)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SUMIFS(RAB!$F$14:$F$135,RAB!$C$14:$C$135,C1079)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SUMIFS(RAB!$F$14:$F$135,RAB!$C$14:$C$135,C1080)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SUMIFS(RAB!$F$14:$F$135,RAB!$C$14:$C$135,C1081)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SUMIFS(RAB!$F$14:$F$135,RAB!$C$14:$C$135,C1082)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SUMIFS(RAB!$F$14:$F$135,RAB!$C$14:$C$135,C1083)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SUMIFS(RAB!$F$14:$F$135,RAB!$C$14:$C$135,C1084)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SUMIFS(RAB!$F$14:$F$135,RAB!$C$14:$C$135,C1085)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SUMIFS(RAB!$F$14:$F$135,RAB!$C$14:$C$135,C1086)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SUMIFS(RAB!$F$14:$F$135,RAB!$C$14:$C$135,C1087)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SUMIFS(RAB!$F$14:$F$135,RAB!$C$14:$C$135,C1088)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SUMIFS(RAB!$F$14:$F$135,RAB!$C$14:$C$135,C1089)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SUMIFS(RAB!$F$14:$F$135,RAB!$C$14:$C$135,C1090)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SUMIFS(RAB!$F$14:$F$135,RAB!$C$14:$C$135,C1091)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SUMIFS(RAB!$F$14:$F$135,RAB!$C$14:$C$135,C1092)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SUMIFS(RAB!$F$14:$F$135,RAB!$C$14:$C$135,C1093)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SUMIFS(RAB!$F$14:$F$135,RAB!$C$14:$C$135,C1094)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SUMIFS(RAB!$F$14:$F$135,RAB!$C$14:$C$135,C1095)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SUMIFS(RAB!$F$14:$F$135,RAB!$C$14:$C$135,C1096)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SUMIFS(RAB!$F$14:$F$135,RAB!$C$14:$C$135,C1097)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SUMIFS(RAB!$F$14:$F$135,RAB!$C$14:$C$135,C1098)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SUMIFS(RAB!$F$14:$F$135,RAB!$C$14:$C$135,C1099)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SUMIFS(RAB!$F$14:$F$135,RAB!$C$14:$C$135,C1100)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SUMIFS(RAB!$F$14:$F$135,RAB!$C$14:$C$135,C1101)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SUMIFS(RAB!$F$14:$F$135,RAB!$C$14:$C$135,C1102)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SUMIFS(RAB!$F$14:$F$135,RAB!$C$14:$C$135,C1103)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SUMIFS(RAB!$F$14:$F$135,RAB!$C$14:$C$135,C1104)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SUMIFS(RAB!$F$14:$F$135,RAB!$C$14:$C$135,C1105)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SUMIFS(RAB!$F$14:$F$135,RAB!$C$14:$C$135,C1106)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SUMIFS(RAB!$F$14:$F$135,RAB!$C$14:$C$135,C1107)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SUMIFS(RAB!$F$14:$F$135,RAB!$C$14:$C$135,C1108)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SUMIFS(RAB!$F$14:$F$135,RAB!$C$14:$C$135,C1109)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SUMIFS(RAB!$F$14:$F$135,RAB!$C$14:$C$135,C1110)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SUMIFS(RAB!$F$14:$F$135,RAB!$C$14:$C$135,C1111)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SUMIFS(RAB!$F$14:$F$135,RAB!$C$14:$C$135,C1112)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SUMIFS(RAB!$F$14:$F$135,RAB!$C$14:$C$135,C1113)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SUMIFS(RAB!$F$14:$F$135,RAB!$C$14:$C$135,C1114)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SUMIFS(RAB!$F$14:$F$135,RAB!$C$14:$C$135,C1115)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SUMIFS(RAB!$F$14:$F$135,RAB!$C$14:$C$135,C1116)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SUMIFS(RAB!$F$14:$F$135,RAB!$C$14:$C$135,C1117)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SUMIFS(RAB!$F$14:$F$135,RAB!$C$14:$C$135,C1118)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SUMIFS(RAB!$F$14:$F$135,RAB!$C$14:$C$135,C1119)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SUMIFS(RAB!$F$14:$F$135,RAB!$C$14:$C$135,C1120)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SUMIFS(RAB!$F$14:$F$135,RAB!$C$14:$C$135,C1121)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SUMIFS(RAB!$F$14:$F$135,RAB!$C$14:$C$135,C1122)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SUMIFS(RAB!$F$14:$F$135,RAB!$C$14:$C$135,C1123)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SUMIFS(RAB!$F$14:$F$135,RAB!$C$14:$C$135,C1124)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SUMIFS(RAB!$F$14:$F$135,RAB!$C$14:$C$135,C1125)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SUMIFS(RAB!$F$14:$F$135,RAB!$C$14:$C$135,C1126)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SUMIFS(RAB!$F$14:$F$135,RAB!$C$14:$C$135,C1127)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SUMIFS(RAB!$F$14:$F$135,RAB!$C$14:$C$135,C1128)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SUMIFS(RAB!$F$14:$F$135,RAB!$C$14:$C$135,C1129)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SUMIFS(RAB!$F$14:$F$135,RAB!$C$14:$C$135,C1130)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SUMIFS(RAB!$F$14:$F$135,RAB!$C$14:$C$135,C1131)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SUMIFS(RAB!$F$14:$F$135,RAB!$C$14:$C$135,C1132)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SUMIFS(RAB!$F$14:$F$135,RAB!$C$14:$C$135,C1133)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SUMIFS(RAB!$F$14:$F$135,RAB!$C$14:$C$135,C1134)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SUMIFS(RAB!$F$14:$F$135,RAB!$C$14:$C$135,C1135)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SUMIFS(RAB!$F$14:$F$135,RAB!$C$14:$C$135,C1136)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SUMIFS(RAB!$F$14:$F$135,RAB!$C$14:$C$135,C1137)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SUMIFS(RAB!$F$14:$F$135,RAB!$C$14:$C$135,C1138)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SUMIFS(RAB!$F$14:$F$135,RAB!$C$14:$C$135,C1139)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SUMIFS(RAB!$F$14:$F$135,RAB!$C$14:$C$135,C1140)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SUMIFS(RAB!$F$14:$F$135,RAB!$C$14:$C$135,C1141)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SUMIFS(RAB!$F$14:$F$135,RAB!$C$14:$C$135,C1142)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SUMIFS(RAB!$F$14:$F$135,RAB!$C$14:$C$135,C1143)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SUMIFS(RAB!$F$14:$F$135,RAB!$C$14:$C$135,C1144)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SUMIFS(RAB!$F$14:$F$135,RAB!$C$14:$C$135,C1145)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SUMIFS(RAB!$F$14:$F$135,RAB!$C$14:$C$135,C1146)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SUMIFS(RAB!$F$14:$F$135,RAB!$C$14:$C$135,C1147)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SUMIFS(RAB!$F$14:$F$135,RAB!$C$14:$C$135,C1148)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SUMIFS(RAB!$F$14:$F$135,RAB!$C$14:$C$135,C1149)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SUMIFS(RAB!$F$14:$F$135,RAB!$C$14:$C$135,C1150)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SUMIFS(RAB!$F$14:$F$135,RAB!$C$14:$C$135,C1151)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SUMIFS(RAB!$F$14:$F$135,RAB!$C$14:$C$135,C1152)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SUMIFS(RAB!$F$14:$F$135,RAB!$C$14:$C$135,C1153)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SUMIFS(RAB!$F$14:$F$135,RAB!$C$14:$C$135,C1154)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SUMIFS(RAB!$F$14:$F$135,RAB!$C$14:$C$135,C1155)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SUMIFS(RAB!$F$14:$F$135,RAB!$C$14:$C$135,C1156)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SUMIFS(RAB!$F$14:$F$135,RAB!$C$14:$C$135,C1157)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SUMIFS(RAB!$F$14:$F$135,RAB!$C$14:$C$135,C1158)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SUMIFS(RAB!$F$14:$F$135,RAB!$C$14:$C$135,C1159)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SUMIFS(RAB!$F$14:$F$135,RAB!$C$14:$C$135,C1160)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SUMIFS(RAB!$F$14:$F$135,RAB!$C$14:$C$135,C1161)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SUMIFS(RAB!$F$14:$F$135,RAB!$C$14:$C$135,C1162)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SUMIFS(RAB!$F$14:$F$135,RAB!$C$14:$C$135,C1163)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SUMIFS(RAB!$F$14:$F$135,RAB!$C$14:$C$135,C1164)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SUMIFS(RAB!$F$14:$F$135,RAB!$C$14:$C$135,C1165)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SUMIFS(RAB!$F$14:$F$135,RAB!$C$14:$C$135,C1166)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SUMIFS(RAB!$F$14:$F$135,RAB!$C$14:$C$135,C1167)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SUMIFS(RAB!$F$14:$F$135,RAB!$C$14:$C$135,C1168)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SUMIFS(RAB!$F$14:$F$135,RAB!$C$14:$C$135,C1169)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SUMIFS(RAB!$F$14:$F$135,RAB!$C$14:$C$135,C1170)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SUMIFS(RAB!$F$14:$F$135,RAB!$C$14:$C$135,C1171)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SUMIFS(RAB!$F$14:$F$135,RAB!$C$14:$C$135,C1172)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SUMIFS(RAB!$F$14:$F$135,RAB!$C$14:$C$135,C1173)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SUMIFS(RAB!$F$14:$F$135,RAB!$C$14:$C$135,C1174)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SUMIFS(RAB!$F$14:$F$135,RAB!$C$14:$C$135,C1175)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SUMIFS(RAB!$F$14:$F$135,RAB!$C$14:$C$135,C1176)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SUMIFS(RAB!$F$14:$F$135,RAB!$C$14:$C$135,C1177)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SUMIFS(RAB!$F$14:$F$135,RAB!$C$14:$C$135,C1178)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SUMIFS(RAB!$F$14:$F$135,RAB!$C$14:$C$135,C1179)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SUMIFS(RAB!$F$14:$F$135,RAB!$C$14:$C$135,C1180)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SUMIFS(RAB!$F$14:$F$135,RAB!$C$14:$C$135,C1181)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SUMIFS(RAB!$F$14:$F$135,RAB!$C$14:$C$135,C1182)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SUMIFS(RAB!$F$14:$F$135,RAB!$C$14:$C$135,C1183)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SUMIFS(RAB!$F$14:$F$135,RAB!$C$14:$C$135,C1184)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SUMIFS(RAB!$F$14:$F$135,RAB!$C$14:$C$135,C1185)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SUMIFS(RAB!$F$14:$F$135,RAB!$C$14:$C$135,C1186)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SUMIFS(RAB!$F$14:$F$135,RAB!$C$14:$C$135,C1187)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SUMIFS(RAB!$F$14:$F$135,RAB!$C$14:$C$135,C1188)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SUMIFS(RAB!$F$14:$F$135,RAB!$C$14:$C$135,C1189)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SUMIFS(RAB!$F$14:$F$135,RAB!$C$14:$C$135,C1190)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SUMIFS(RAB!$F$14:$F$135,RAB!$C$14:$C$135,C1191)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SUMIFS(RAB!$F$14:$F$135,RAB!$C$14:$C$135,C1192)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SUMIFS(RAB!$F$14:$F$135,RAB!$C$14:$C$135,C1193)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SUMIFS(RAB!$F$14:$F$135,RAB!$C$14:$C$135,C1194)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SUMIFS(RAB!$F$14:$F$135,RAB!$C$14:$C$135,C1195)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SUMIFS(RAB!$F$14:$F$135,RAB!$C$14:$C$135,C1196)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SUMIFS(RAB!$F$14:$F$135,RAB!$C$14:$C$135,C1197)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SUMIFS(RAB!$F$14:$F$135,RAB!$C$14:$C$135,C1198)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SUMIFS(RAB!$F$14:$F$135,RAB!$C$14:$C$135,C1199)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SUMIFS(RAB!$F$14:$F$135,RAB!$C$14:$C$135,C1200)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SUMIFS(RAB!$F$14:$F$135,RAB!$C$14:$C$135,C1201)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SUMIFS(RAB!$F$14:$F$135,RAB!$C$14:$C$135,C1202)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SUMIFS(RAB!$F$14:$F$135,RAB!$C$14:$C$135,C1203)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SUMIFS(RAB!$F$14:$F$135,RAB!$C$14:$C$135,C1204)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SUMIFS(RAB!$F$14:$F$135,RAB!$C$14:$C$135,C1205)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SUMIFS(RAB!$F$14:$F$135,RAB!$C$14:$C$135,C1206)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SUMIFS(RAB!$F$14:$F$135,RAB!$C$14:$C$135,C1207)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SUMIFS(RAB!$F$14:$F$135,RAB!$C$14:$C$135,C1208)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SUMIFS(RAB!$F$14:$F$135,RAB!$C$14:$C$135,C1209)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SUMIFS(RAB!$F$14:$F$135,RAB!$C$14:$C$135,C1210)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SUMIFS(RAB!$F$14:$F$135,RAB!$C$14:$C$135,C1211)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SUMIFS(RAB!$F$14:$F$135,RAB!$C$14:$C$135,C1212)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SUMIFS(RAB!$F$14:$F$135,RAB!$C$14:$C$135,C1213)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SUMIFS(RAB!$F$14:$F$135,RAB!$C$14:$C$135,C1214)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SUMIFS(RAB!$F$14:$F$135,RAB!$C$14:$C$135,C1215)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SUMIFS(RAB!$F$14:$F$135,RAB!$C$14:$C$135,C1216)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SUMIFS(RAB!$F$14:$F$135,RAB!$C$14:$C$135,C1217)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SUMIFS(RAB!$F$14:$F$135,RAB!$C$14:$C$135,C1218)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SUMIFS(RAB!$F$14:$F$135,RAB!$C$14:$C$135,C1219)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SUMIFS(RAB!$F$14:$F$135,RAB!$C$14:$C$135,C1220)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SUMIFS(RAB!$F$14:$F$135,RAB!$C$14:$C$135,C1221)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SUMIFS(RAB!$F$14:$F$135,RAB!$C$14:$C$135,C1222)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SUMIFS(RAB!$F$14:$F$135,RAB!$C$14:$C$135,C1223)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SUMIFS(RAB!$F$14:$F$135,RAB!$C$14:$C$135,C1224)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SUMIFS(RAB!$F$14:$F$135,RAB!$C$14:$C$135,C1225)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SUMIFS(RAB!$F$14:$F$135,RAB!$C$14:$C$135,C1226)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SUMIFS(RAB!$F$14:$F$135,RAB!$C$14:$C$135,C1227)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SUMIFS(RAB!$F$14:$F$135,RAB!$C$14:$C$135,C1228)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SUMIFS(RAB!$F$14:$F$135,RAB!$C$14:$C$135,C1229)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SUMIFS(RAB!$F$14:$F$135,RAB!$C$14:$C$135,C1230)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SUMIFS(RAB!$F$14:$F$135,RAB!$C$14:$C$135,C1231)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SUMIFS(RAB!$F$14:$F$135,RAB!$C$14:$C$135,C1232)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SUMIFS(RAB!$F$14:$F$135,RAB!$C$14:$C$135,C1233)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SUMIFS(RAB!$F$14:$F$135,RAB!$C$14:$C$135,C1234)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SUMIFS(RAB!$F$14:$F$135,RAB!$C$14:$C$135,C1235)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SUMIFS(RAB!$F$14:$F$135,RAB!$C$14:$C$135,C1236)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SUMIFS(RAB!$F$14:$F$135,RAB!$C$14:$C$135,C1237)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SUMIFS(RAB!$F$14:$F$135,RAB!$C$14:$C$135,C1238)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SUMIFS(RAB!$F$14:$F$135,RAB!$C$14:$C$135,C1239)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SUMIFS(RAB!$F$14:$F$135,RAB!$C$14:$C$135,C1240)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SUMIFS(RAB!$F$14:$F$135,RAB!$C$14:$C$135,C1241)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SUMIFS(RAB!$F$14:$F$135,RAB!$C$14:$C$135,C1242)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SUMIFS(RAB!$F$14:$F$135,RAB!$C$14:$C$135,C1243)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SUMIFS(RAB!$F$14:$F$135,RAB!$C$14:$C$135,C1244)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SUMIFS(RAB!$F$14:$F$135,RAB!$C$14:$C$135,C1245)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SUMIFS(RAB!$F$14:$F$135,RAB!$C$14:$C$135,C1246)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SUMIFS(RAB!$F$14:$F$135,RAB!$C$14:$C$135,C1247)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SUMIFS(RAB!$F$14:$F$135,RAB!$C$14:$C$135,C1248)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SUMIFS(RAB!$F$14:$F$135,RAB!$C$14:$C$135,C1249)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SUMIFS(RAB!$F$14:$F$135,RAB!$C$14:$C$135,C1250)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SUMIFS(RAB!$F$14:$F$135,RAB!$C$14:$C$135,C1251)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SUMIFS(RAB!$F$14:$F$135,RAB!$C$14:$C$135,C1252)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SUMIFS(RAB!$F$14:$F$135,RAB!$C$14:$C$135,C1253)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SUMIFS(RAB!$F$14:$F$135,RAB!$C$14:$C$135,C1254)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SUMIFS(RAB!$F$14:$F$135,RAB!$C$14:$C$135,C1255)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SUMIFS(RAB!$F$14:$F$135,RAB!$C$14:$C$135,C1256)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SUMIFS(RAB!$F$14:$F$135,RAB!$C$14:$C$135,C1257)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SUMIFS(RAB!$F$14:$F$135,RAB!$C$14:$C$135,C1258)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SUMIFS(RAB!$F$14:$F$135,RAB!$C$14:$C$135,C1259)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SUMIFS(RAB!$F$14:$F$135,RAB!$C$14:$C$135,C1260)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SUMIFS(RAB!$F$14:$F$135,RAB!$C$14:$C$135,C1261)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SUMIFS(RAB!$F$14:$F$135,RAB!$C$14:$C$135,C1262)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SUMIFS(RAB!$F$14:$F$135,RAB!$C$14:$C$135,C1263)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SUMIFS(RAB!$F$14:$F$135,RAB!$C$14:$C$135,C1264)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SUMIFS(RAB!$F$14:$F$135,RAB!$C$14:$C$135,C1265)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SUMIFS(RAB!$F$14:$F$135,RAB!$C$14:$C$135,C1266)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SUMIFS(RAB!$F$14:$F$135,RAB!$C$14:$C$135,C1267)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SUMIFS(RAB!$F$14:$F$135,RAB!$C$14:$C$135,C1268)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SUMIFS(RAB!$F$14:$F$135,RAB!$C$14:$C$135,C1269)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SUMIFS(RAB!$F$14:$F$135,RAB!$C$14:$C$135,C1270)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SUMIFS(RAB!$F$14:$F$135,RAB!$C$14:$C$135,C1271)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SUMIFS(RAB!$F$14:$F$135,RAB!$C$14:$C$135,C1272)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SUMIFS(RAB!$F$14:$F$135,RAB!$C$14:$C$135,C1273)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SUMIFS(RAB!$F$14:$F$135,RAB!$C$14:$C$135,C1274)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SUMIFS(RAB!$F$14:$F$135,RAB!$C$14:$C$135,C1275)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SUMIFS(RAB!$F$14:$F$135,RAB!$C$14:$C$135,C1276)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SUMIFS(RAB!$F$14:$F$135,RAB!$C$14:$C$135,C1277)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SUMIFS(RAB!$F$14:$F$135,RAB!$C$14:$C$135,C1278)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SUMIFS(RAB!$F$14:$F$135,RAB!$C$14:$C$135,C1279)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SUMIFS(RAB!$F$14:$F$135,RAB!$C$14:$C$135,C1280)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SUMIFS(RAB!$F$14:$F$135,RAB!$C$14:$C$135,C1281)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SUMIFS(RAB!$F$14:$F$135,RAB!$C$14:$C$135,C1282)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SUMIFS(RAB!$F$14:$F$135,RAB!$C$14:$C$135,C1283)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SUMIFS(RAB!$F$14:$F$135,RAB!$C$14:$C$135,C1284)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SUMIFS(RAB!$F$14:$F$135,RAB!$C$14:$C$135,C1285)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SUMIFS(RAB!$F$14:$F$135,RAB!$C$14:$C$135,C1286)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SUMIFS(RAB!$F$14:$F$135,RAB!$C$14:$C$135,C1287)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SUMIFS(RAB!$F$14:$F$135,RAB!$C$14:$C$135,C1288)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SUMIFS(RAB!$F$14:$F$135,RAB!$C$14:$C$135,C1289)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SUMIFS(RAB!$F$14:$F$135,RAB!$C$14:$C$135,C1290)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SUMIFS(RAB!$F$14:$F$135,RAB!$C$14:$C$135,C1291)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SUMIFS(RAB!$F$14:$F$135,RAB!$C$14:$C$135,C1292)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SUMIFS(RAB!$F$14:$F$135,RAB!$C$14:$C$135,C1293)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SUMIFS(RAB!$F$14:$F$135,RAB!$C$14:$C$135,C1294)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SUMIFS(RAB!$F$14:$F$135,RAB!$C$14:$C$135,C1295)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SUMIFS(RAB!$F$14:$F$135,RAB!$C$14:$C$135,C1296)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SUMIFS(RAB!$F$14:$F$135,RAB!$C$14:$C$135,C1297)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SUMIFS(RAB!$F$14:$F$135,RAB!$C$14:$C$135,C1298)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SUMIFS(RAB!$F$14:$F$135,RAB!$C$14:$C$135,C1299)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SUMIFS(RAB!$F$14:$F$135,RAB!$C$14:$C$135,C1300)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SUMIFS(RAB!$F$14:$F$135,RAB!$C$14:$C$135,C1301)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SUMIFS(RAB!$F$14:$F$135,RAB!$C$14:$C$135,C1302)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SUMIFS(RAB!$F$14:$F$135,RAB!$C$14:$C$135,C1303)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SUMIFS(RAB!$F$14:$F$135,RAB!$C$14:$C$135,C1304)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SUMIFS(RAB!$F$14:$F$135,RAB!$C$14:$C$135,C1305)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SUMIFS(RAB!$F$14:$F$135,RAB!$C$14:$C$135,C1306)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SUMIFS(RAB!$F$14:$F$135,RAB!$C$14:$C$135,C1307)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SUMIFS(RAB!$F$14:$F$135,RAB!$C$14:$C$135,C1308)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SUMIFS(RAB!$F$14:$F$135,RAB!$C$14:$C$135,C1309)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SUMIFS(RAB!$F$14:$F$135,RAB!$C$14:$C$135,C1310)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SUMIFS(RAB!$F$14:$F$135,RAB!$C$14:$C$135,C1311)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SUMIFS(RAB!$F$14:$F$135,RAB!$C$14:$C$135,C1312)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SUMIFS(RAB!$F$14:$F$135,RAB!$C$14:$C$135,C1313)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SUMIFS(RAB!$F$14:$F$135,RAB!$C$14:$C$135,C1314)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SUMIFS(RAB!$F$14:$F$135,RAB!$C$14:$C$135,C1315)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SUMIFS(RAB!$F$14:$F$135,RAB!$C$14:$C$135,C1316)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SUMIFS(RAB!$F$14:$F$135,RAB!$C$14:$C$135,C1317)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SUMIFS(RAB!$F$14:$F$135,RAB!$C$14:$C$135,C1318)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SUMIFS(RAB!$F$14:$F$135,RAB!$C$14:$C$135,C1319)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SUMIFS(RAB!$F$14:$F$135,RAB!$C$14:$C$135,C1320)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3" priority="5" operator="equal">
      <formula>0</formula>
    </cfRule>
  </conditionalFormatting>
  <conditionalFormatting sqref="A10:L65536">
    <cfRule type="cellIs" dxfId="62" priority="1" operator="equal">
      <formula>0</formula>
    </cfRule>
  </conditionalFormatting>
  <conditionalFormatting sqref="C12:C711">
    <cfRule type="cellIs" dxfId="61" priority="66" stopIfTrue="1" operator="equal">
      <formula>0</formula>
    </cfRule>
  </conditionalFormatting>
  <conditionalFormatting sqref="E712:E65536">
    <cfRule type="cellIs" dxfId="60" priority="16" stopIfTrue="1" operator="equal">
      <formula>0</formula>
    </cfRule>
  </conditionalFormatting>
  <conditionalFormatting sqref="G1:G11 E6:E11 E1:E3 H7 H10:H11 F10:F711 G712:G65536">
    <cfRule type="cellIs" dxfId="59" priority="69" stopIfTrue="1" operator="equal">
      <formula>0</formula>
    </cfRule>
  </conditionalFormatting>
  <conditionalFormatting sqref="G12:H711">
    <cfRule type="cellIs" dxfId="58" priority="12" stopIfTrue="1" operator="equal">
      <formula>0</formula>
    </cfRule>
  </conditionalFormatting>
  <conditionalFormatting sqref="I7:K7">
    <cfRule type="cellIs" dxfId="57" priority="4" stopIfTrue="1" operator="equal">
      <formula>0</formula>
    </cfRule>
  </conditionalFormatting>
  <conditionalFormatting sqref="I10:L711">
    <cfRule type="cellIs" dxfId="56" priority="2" stopIfTrue="1" operator="equal">
      <formula>0</formula>
    </cfRule>
  </conditionalFormatting>
  <conditionalFormatting sqref="L1:L6">
    <cfRule type="cellIs" dxfId="55" priority="10" operator="equal">
      <formula>0</formula>
    </cfRule>
  </conditionalFormatting>
  <conditionalFormatting sqref="M1:IV1048576 A8:G9">
    <cfRule type="cellIs" dxfId="54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8" t="s">
        <v>1127</v>
      </c>
      <c r="C4" s="548"/>
      <c r="D4" s="548"/>
      <c r="E4" s="548"/>
      <c r="F4" s="548"/>
      <c r="G4" s="548"/>
      <c r="H4" s="548"/>
      <c r="I4" s="548"/>
      <c r="J4" s="548"/>
      <c r="K4" s="54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1" t="str">
        <f>RAB!G6</f>
        <v>PD NEW STAR CINEPLEX 11-66KVA</v>
      </c>
      <c r="H6" s="541"/>
      <c r="I6" s="541"/>
      <c r="J6" s="541"/>
      <c r="K6" s="541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 xml:space="preserve"> DS KALONGAN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9" t="s">
        <v>0</v>
      </c>
      <c r="C11" s="551" t="s">
        <v>1</v>
      </c>
      <c r="D11" s="554" t="s">
        <v>42</v>
      </c>
      <c r="E11" s="554" t="s">
        <v>43</v>
      </c>
      <c r="F11" s="554" t="s">
        <v>2</v>
      </c>
      <c r="G11" s="555" t="s">
        <v>41</v>
      </c>
      <c r="H11" s="554" t="s">
        <v>3</v>
      </c>
      <c r="I11" s="554"/>
      <c r="J11" s="554"/>
      <c r="K11" s="558"/>
      <c r="M11" s="33"/>
      <c r="N11" s="33"/>
      <c r="O11" s="33"/>
      <c r="P11" s="33"/>
      <c r="R11" s="34"/>
      <c r="S11" s="74"/>
      <c r="T11" s="74"/>
    </row>
    <row r="12" spans="1:21" ht="15" customHeight="1">
      <c r="B12" s="550"/>
      <c r="C12" s="552"/>
      <c r="D12" s="544"/>
      <c r="E12" s="544"/>
      <c r="F12" s="544"/>
      <c r="G12" s="556"/>
      <c r="H12" s="546" t="s">
        <v>46</v>
      </c>
      <c r="I12" s="546" t="s">
        <v>5</v>
      </c>
      <c r="J12" s="544" t="s">
        <v>47</v>
      </c>
      <c r="K12" s="54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0"/>
      <c r="C13" s="553"/>
      <c r="D13" s="544"/>
      <c r="E13" s="544"/>
      <c r="F13" s="544"/>
      <c r="G13" s="557"/>
      <c r="H13" s="547"/>
      <c r="I13" s="547"/>
      <c r="J13" s="544"/>
      <c r="K13" s="54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12M-350 daN+E</v>
      </c>
      <c r="D16" s="101" t="str">
        <f ca="1">IF(ISERROR(OFFSET('HARGA SATUAN'!$D$6,MATCH(C16,'HARGA SATUAN'!$C$7:$C$1495,0),0)),"",OFFSET('HARGA SATUAN'!$D$6,MATCH(C16,'HARGA SATUAN'!$C$7:$C$1495,0),0))</f>
        <v>HDW</v>
      </c>
      <c r="E16" s="101" t="str">
        <f ca="1">IF(B16="+","Unit",IF(ISERROR(OFFSET('HARGA SATUAN'!$E$6,MATCH(C16,'HARGA SATUAN'!$C$7:$C$1495,0),0)),"",OFFSET('HARGA SATUAN'!$E$6,MATCH(C16,'HARGA SATUAN'!$C$7:$C$1495,0),0)))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SATUAN'!$C$7:$C$1495,0),0)),"",OFFSET('HARGA SATUAN'!$I$6,MATCH(C16,'HARGA SATUAN'!$C$7:$C$1495,0),0))</f>
        <v>6074400</v>
      </c>
      <c r="H16" s="42">
        <f t="shared" ca="1" si="1"/>
        <v>0</v>
      </c>
      <c r="I16" s="42">
        <f t="shared" ca="1" si="2"/>
        <v>6074400</v>
      </c>
      <c r="J16" s="42">
        <f t="shared" ca="1" si="3"/>
        <v>0</v>
      </c>
      <c r="K16" s="43">
        <f t="shared" ca="1" si="0"/>
        <v>6074400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2" t="s">
        <v>1008</v>
      </c>
      <c r="D38" s="542"/>
      <c r="E38" s="542"/>
      <c r="F38" s="542"/>
      <c r="G38" s="77" t="s">
        <v>9</v>
      </c>
      <c r="H38" s="55">
        <f ca="1">SUM(H14:H37)</f>
        <v>0</v>
      </c>
      <c r="I38" s="55">
        <f ca="1">SUM(I14:I37)</f>
        <v>6074400</v>
      </c>
      <c r="J38" s="55">
        <f ca="1">SUM(J14:J37)</f>
        <v>0</v>
      </c>
      <c r="K38" s="55">
        <f ca="1">SUM(K14:K37)</f>
        <v>6074400</v>
      </c>
      <c r="L38" s="44"/>
      <c r="R38" s="99"/>
      <c r="S38" s="99"/>
      <c r="T38" s="99"/>
    </row>
    <row r="39" spans="1:20" s="36" customFormat="1">
      <c r="A39" s="30"/>
      <c r="B39" s="56"/>
      <c r="C39" s="543" t="s">
        <v>462</v>
      </c>
      <c r="D39" s="543"/>
      <c r="E39" s="543"/>
      <c r="F39" s="543"/>
      <c r="G39" s="59" t="s">
        <v>9</v>
      </c>
      <c r="H39" s="60">
        <f ca="1">H38*0.1</f>
        <v>0</v>
      </c>
      <c r="I39" s="60">
        <f ca="1">I38*0.1</f>
        <v>607440</v>
      </c>
      <c r="J39" s="60">
        <f ca="1">J38*0.1</f>
        <v>0</v>
      </c>
      <c r="K39" s="60">
        <f ca="1">K38*0.1</f>
        <v>607440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2" t="s">
        <v>463</v>
      </c>
      <c r="D40" s="532"/>
      <c r="E40" s="532"/>
      <c r="F40" s="532"/>
      <c r="G40" s="61" t="s">
        <v>9</v>
      </c>
      <c r="H40" s="78">
        <f ca="1">SUM(H38:H39)</f>
        <v>0</v>
      </c>
      <c r="I40" s="78">
        <f ca="1">SUM(I38:I39)</f>
        <v>6681840</v>
      </c>
      <c r="J40" s="61">
        <f ca="1">SUM(J38:J39)</f>
        <v>0</v>
      </c>
      <c r="K40" s="61">
        <f ca="1">SUM(K38:K39)</f>
        <v>6681840</v>
      </c>
      <c r="L40" s="44"/>
      <c r="R40" s="99"/>
      <c r="S40" s="99"/>
      <c r="T40" s="99"/>
    </row>
    <row r="41" spans="1:20" s="36" customFormat="1">
      <c r="A41" s="30"/>
      <c r="B41" s="535" t="e">
        <f ca="1">"Terbilang : ( "&amp;L42&amp;" Rupiah )"</f>
        <v>#NAME?</v>
      </c>
      <c r="C41" s="536"/>
      <c r="D41" s="536"/>
      <c r="E41" s="536"/>
      <c r="F41" s="536"/>
      <c r="G41" s="536"/>
      <c r="H41" s="536"/>
      <c r="I41" s="536"/>
      <c r="J41" s="536"/>
      <c r="K41" s="537"/>
      <c r="L41" s="44"/>
      <c r="R41" s="58"/>
      <c r="S41" s="58"/>
      <c r="T41" s="58"/>
    </row>
    <row r="42" spans="1:20" s="36" customFormat="1">
      <c r="A42" s="30"/>
      <c r="B42" s="538"/>
      <c r="C42" s="539"/>
      <c r="D42" s="539"/>
      <c r="E42" s="539"/>
      <c r="F42" s="539"/>
      <c r="G42" s="539"/>
      <c r="H42" s="539"/>
      <c r="I42" s="539"/>
      <c r="J42" s="539"/>
      <c r="K42" s="540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3"/>
      <c r="I45" s="533"/>
      <c r="J45" s="534"/>
      <c r="K45" s="534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3"/>
      <c r="I46" s="533"/>
      <c r="J46" s="534"/>
      <c r="K46" s="534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3"/>
      <c r="I47" s="533"/>
      <c r="J47" s="534"/>
      <c r="K47" s="534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3"/>
      <c r="I52" s="533"/>
      <c r="J52" s="534"/>
      <c r="K52" s="534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SUMIFS(RAB!$F$14:$F$135,RAB!$C$14:$C$135,'REKAP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SUMIFS(RAB!$F$14:$F$135,RAB!$C$14:$C$135,'REKAP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SUMIFS(RAB!$F$14:$F$135,RAB!$C$14:$C$135,'REKAP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SUMIFS(RAB!$F$14:$F$135,RAB!$C$14:$C$135,'REKAP TIANG'!C60)</f>
        <v>1</v>
      </c>
      <c r="E60" s="24">
        <f t="shared" ca="1" si="12"/>
        <v>1</v>
      </c>
      <c r="F60" s="24">
        <f ca="1">IF(D60=0,0,SUM($E$56:E60))</f>
        <v>1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SUMIFS(RAB!$F$14:$F$135,RAB!$C$14:$C$135,'REKAP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SUMIFS(RAB!$F$14:$F$135,RAB!$C$14:$C$135,'REKAP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SUMIFS(RAB!$F$14:$F$135,RAB!$C$14:$C$135,'REKAP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SUMIFS(RAB!$F$14:$F$135,RAB!$C$14:$C$135,'REKAP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SUMIFS(RAB!$F$14:$F$135,RAB!$C$14:$C$135,'REKAP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SUMIFS(RAB!$F$14:$F$135,RAB!$C$14:$C$135,'REKAP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SUMIFS(RAB!$F$14:$F$135,RAB!$C$14:$C$135,'REKAP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SUMIFS(RAB!$F$14:$F$135,RAB!$C$14:$C$135,'REKAP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SUMIFS(RAB!$F$14:$F$135,RAB!$C$14:$C$135,'REKAP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SUMIFS(RAB!$F$14:$F$135,RAB!$C$14:$C$135,'REKAP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SUMIFS(RAB!$F$14:$F$135,RAB!$C$14:$C$135,'REKAP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SUMIFS(RAB!$F$14:$F$135,RAB!$C$14:$C$135,'REKAP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SUMIFS(RAB!$F$14:$F$135,RAB!$C$14:$C$135,'REKAP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SUMIFS(RAB!$F$14:$F$135,RAB!$C$14:$C$135,'REKAP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SUMIFS(RAB!$F$14:$F$135,RAB!$C$14:$C$135,'REKAP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SUMIFS(RAB!$F$14:$F$135,RAB!$C$14:$C$135,'REKAP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53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52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0" activePane="bottomRight" state="frozen"/>
      <selection activeCell="D209" sqref="D209"/>
      <selection pane="topRight" activeCell="D209" sqref="D209"/>
      <selection pane="bottomLeft" activeCell="D209" sqref="D209"/>
      <selection pane="bottomRight" activeCell="C22" sqref="C22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8" t="s">
        <v>1034</v>
      </c>
      <c r="C4" s="548"/>
      <c r="D4" s="548"/>
      <c r="E4" s="548"/>
      <c r="F4" s="548"/>
      <c r="G4" s="548"/>
      <c r="H4" s="548"/>
      <c r="I4" s="548"/>
      <c r="J4" s="548"/>
      <c r="K4" s="54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1" t="str">
        <f>RAB!G6</f>
        <v>PD NEW STAR CINEPLEX 11-66KVA</v>
      </c>
      <c r="H6" s="541"/>
      <c r="I6" s="541"/>
      <c r="J6" s="541"/>
      <c r="K6" s="541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 xml:space="preserve"> DS KALONGAN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9" t="s">
        <v>0</v>
      </c>
      <c r="C11" s="551" t="s">
        <v>1</v>
      </c>
      <c r="D11" s="554" t="s">
        <v>42</v>
      </c>
      <c r="E11" s="554" t="s">
        <v>43</v>
      </c>
      <c r="F11" s="554" t="s">
        <v>2</v>
      </c>
      <c r="G11" s="555" t="s">
        <v>41</v>
      </c>
      <c r="H11" s="554" t="s">
        <v>3</v>
      </c>
      <c r="I11" s="554"/>
      <c r="J11" s="554"/>
      <c r="K11" s="558"/>
      <c r="M11" s="33"/>
      <c r="N11" s="33"/>
      <c r="O11" s="33"/>
      <c r="P11" s="33"/>
      <c r="R11" s="34"/>
      <c r="S11" s="74"/>
      <c r="T11" s="74"/>
    </row>
    <row r="12" spans="1:21" ht="15" customHeight="1">
      <c r="B12" s="550"/>
      <c r="C12" s="552"/>
      <c r="D12" s="544"/>
      <c r="E12" s="544"/>
      <c r="F12" s="544"/>
      <c r="G12" s="556"/>
      <c r="H12" s="546" t="s">
        <v>46</v>
      </c>
      <c r="I12" s="546" t="s">
        <v>5</v>
      </c>
      <c r="J12" s="544" t="s">
        <v>47</v>
      </c>
      <c r="K12" s="54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0"/>
      <c r="C13" s="553"/>
      <c r="D13" s="544"/>
      <c r="E13" s="544"/>
      <c r="F13" s="544"/>
      <c r="G13" s="557"/>
      <c r="H13" s="547"/>
      <c r="I13" s="547"/>
      <c r="J13" s="544"/>
      <c r="K13" s="54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66 kVA MCCB 100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13644300</v>
      </c>
      <c r="H17" s="42">
        <f t="shared" ca="1" si="1"/>
        <v>13644300</v>
      </c>
      <c r="I17" s="42">
        <f t="shared" ca="1" si="2"/>
        <v>0</v>
      </c>
      <c r="J17" s="42">
        <f t="shared" ca="1" si="3"/>
        <v>0</v>
      </c>
      <c r="K17" s="43">
        <f t="shared" ca="1" si="0"/>
        <v>13644300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3</v>
      </c>
      <c r="G19" s="41">
        <f ca="1">IF(ISERROR(OFFSET('HARGA SATUAN'!$I$6,MATCH(C19,'HARGA SATUAN'!$C$7:$C$1495,0),0)),"",OFFSET('HARGA SATUAN'!$I$6,MATCH(C19,'HARGA SATUAN'!$C$7:$C$1495,0),0))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Bh</v>
      </c>
      <c r="F20" s="101">
        <f t="shared" ca="1" si="6"/>
        <v>3</v>
      </c>
      <c r="G20" s="41">
        <f ca="1">IF(ISERROR(OFFSET('HARGA SATUAN'!$I$6,MATCH(C20,'HARGA SATUAN'!$C$7:$C$1495,0),0)),"",OFFSET('HARGA SATUAN'!$I$6,MATCH(C20,'HARGA SATUAN'!$C$7:$C$1495,0),0))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9</v>
      </c>
      <c r="G21" s="41">
        <f ca="1">IF(ISERROR(OFFSET('HARGA SATUAN'!$I$6,MATCH(C21,'HARGA SATUAN'!$C$7:$C$1495,0),0)),"",OFFSET('HARGA SATUAN'!$I$6,MATCH(C21,'HARGA SATUAN'!$C$7:$C$1495,0),0))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AAAC 150 mm²</v>
      </c>
      <c r="D22" s="101" t="str">
        <f ca="1">IF(ISERROR(OFFSET('HARGA SATUAN'!$D$6,MATCH(C22,'HARGA SATUAN'!$C$7:$C$1495,0),0)),"",OFFSET('HARGA SATUAN'!$D$6,MATCH(C22,'HARGA SATUAN'!$C$7:$C$1495,0),0))</f>
        <v>MDU-KD</v>
      </c>
      <c r="E22" s="101" t="str">
        <f ca="1">IF(B22="+","Unit",IF(ISERROR(OFFSET('HARGA SATUAN'!$E$6,MATCH(C22,'HARGA SATUAN'!$C$7:$C$1495,0),0)),"",OFFSET('HARGA SATUAN'!$E$6,MATCH(C22,'HARGA SATUAN'!$C$7:$C$1495,0),0)))</f>
        <v>Mtr</v>
      </c>
      <c r="F22" s="101">
        <f t="shared" ca="1" si="6"/>
        <v>200</v>
      </c>
      <c r="G22" s="41">
        <f ca="1">IF(ISERROR(OFFSET('HARGA SATUAN'!$I$6,MATCH(C22,'HARGA SATUAN'!$C$7:$C$1495,0),0)),"",OFFSET('HARGA SATUAN'!$I$6,MATCH(C22,'HARGA SATUAN'!$C$7:$C$1495,0),0))</f>
        <v>25300</v>
      </c>
      <c r="H22" s="42">
        <f t="shared" ca="1" si="1"/>
        <v>5060000</v>
      </c>
      <c r="I22" s="42">
        <f t="shared" ca="1" si="2"/>
        <v>0</v>
      </c>
      <c r="J22" s="42">
        <f t="shared" ca="1" si="3"/>
        <v>0</v>
      </c>
      <c r="K22" s="43">
        <f t="shared" ca="1" si="0"/>
        <v>5060000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NFA2X-T 3x70+1x70</v>
      </c>
      <c r="D23" s="101" t="str">
        <f ca="1">IF(ISERROR(OFFSET('HARGA SATUAN'!$D$6,MATCH(C23,'HARGA SATUAN'!$C$7:$C$1495,0),0)),"",OFFSET('HARGA SATUAN'!$D$6,MATCH(C23,'HARGA SATUAN'!$C$7:$C$1495,0),0))</f>
        <v>MDU-KD</v>
      </c>
      <c r="E23" s="101" t="str">
        <f ca="1">IF(B23="+","Unit",IF(ISERROR(OFFSET('HARGA SATUAN'!$E$6,MATCH(C23,'HARGA SATUAN'!$C$7:$C$1495,0),0)),"",OFFSET('HARGA SATUAN'!$E$6,MATCH(C23,'HARGA SATUAN'!$C$7:$C$1495,0),0)))</f>
        <v>Mtr</v>
      </c>
      <c r="F23" s="101">
        <f t="shared" ca="1" si="6"/>
        <v>40</v>
      </c>
      <c r="G23" s="41">
        <f ca="1">IF(ISERROR(OFFSET('HARGA SATUAN'!$I$6,MATCH(C23,'HARGA SATUAN'!$C$7:$C$1495,0),0)),"",OFFSET('HARGA SATUAN'!$I$6,MATCH(C23,'HARGA SATUAN'!$C$7:$C$1495,0),0))</f>
        <v>54500</v>
      </c>
      <c r="H23" s="42">
        <f t="shared" ca="1" si="1"/>
        <v>2180000</v>
      </c>
      <c r="I23" s="42">
        <f t="shared" ca="1" si="2"/>
        <v>0</v>
      </c>
      <c r="J23" s="42">
        <f t="shared" ca="1" si="3"/>
        <v>0</v>
      </c>
      <c r="K23" s="43">
        <f t="shared" ca="1" si="0"/>
        <v>2180000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2" t="s">
        <v>1008</v>
      </c>
      <c r="D168" s="542"/>
      <c r="E168" s="542"/>
      <c r="F168" s="542"/>
      <c r="G168" s="77" t="s">
        <v>9</v>
      </c>
      <c r="H168" s="55">
        <f ca="1">SUM(H14:H167)</f>
        <v>84077350</v>
      </c>
      <c r="I168" s="55">
        <f ca="1">SUM(I14:I167)</f>
        <v>0</v>
      </c>
      <c r="J168" s="55">
        <f ca="1">SUM(J14:J167)</f>
        <v>0</v>
      </c>
      <c r="K168" s="55">
        <f ca="1">SUM(K14:K167)</f>
        <v>84077350</v>
      </c>
      <c r="L168" s="44"/>
      <c r="R168" s="99"/>
      <c r="S168" s="99"/>
      <c r="T168" s="99"/>
    </row>
    <row r="169" spans="1:20" s="36" customFormat="1">
      <c r="A169" s="30"/>
      <c r="B169" s="56"/>
      <c r="C169" s="543" t="s">
        <v>462</v>
      </c>
      <c r="D169" s="543"/>
      <c r="E169" s="543"/>
      <c r="F169" s="543"/>
      <c r="G169" s="59" t="s">
        <v>9</v>
      </c>
      <c r="H169" s="60">
        <f ca="1">H168*0.1</f>
        <v>8407735</v>
      </c>
      <c r="I169" s="60">
        <f ca="1">I168*0.1</f>
        <v>0</v>
      </c>
      <c r="J169" s="60">
        <f ca="1">J168*0.1</f>
        <v>0</v>
      </c>
      <c r="K169" s="60">
        <f ca="1">K168*0.1</f>
        <v>8407735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2" t="s">
        <v>463</v>
      </c>
      <c r="D170" s="532"/>
      <c r="E170" s="532"/>
      <c r="F170" s="532"/>
      <c r="G170" s="61" t="s">
        <v>9</v>
      </c>
      <c r="H170" s="78">
        <f ca="1">SUM(H168:H169)</f>
        <v>92485085</v>
      </c>
      <c r="I170" s="78">
        <f ca="1">SUM(I168:I169)</f>
        <v>0</v>
      </c>
      <c r="J170" s="61">
        <f ca="1">SUM(J168:J169)</f>
        <v>0</v>
      </c>
      <c r="K170" s="61">
        <f ca="1">SUM(K168:K169)</f>
        <v>92485085</v>
      </c>
      <c r="L170" s="44"/>
      <c r="R170" s="99"/>
      <c r="S170" s="99"/>
      <c r="T170" s="99"/>
    </row>
    <row r="171" spans="1:20" s="36" customFormat="1">
      <c r="A171" s="30"/>
      <c r="B171" s="535" t="e">
        <f ca="1">"Terbilang : ( "&amp;L172&amp;" Rupiah )"</f>
        <v>#NAME?</v>
      </c>
      <c r="C171" s="536"/>
      <c r="D171" s="536"/>
      <c r="E171" s="536"/>
      <c r="F171" s="536"/>
      <c r="G171" s="536"/>
      <c r="H171" s="536"/>
      <c r="I171" s="536"/>
      <c r="J171" s="536"/>
      <c r="K171" s="537"/>
      <c r="L171" s="44"/>
      <c r="R171" s="58"/>
      <c r="S171" s="58"/>
      <c r="T171" s="58"/>
    </row>
    <row r="172" spans="1:20" s="36" customFormat="1">
      <c r="A172" s="30"/>
      <c r="B172" s="538"/>
      <c r="C172" s="539"/>
      <c r="D172" s="539"/>
      <c r="E172" s="539"/>
      <c r="F172" s="539"/>
      <c r="G172" s="539"/>
      <c r="H172" s="539"/>
      <c r="I172" s="539"/>
      <c r="J172" s="539"/>
      <c r="K172" s="540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3"/>
      <c r="I175" s="533"/>
      <c r="J175" s="534"/>
      <c r="K175" s="534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3"/>
      <c r="I176" s="533"/>
      <c r="J176" s="534"/>
      <c r="K176" s="534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3"/>
      <c r="I177" s="533"/>
      <c r="J177" s="534"/>
      <c r="K177" s="534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3"/>
      <c r="I182" s="533"/>
      <c r="J182" s="534"/>
      <c r="K182" s="534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SUMIFS(RAB!$F$14:$F$135,RAB!$C$14:$C$135,C224)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SUMIFS(RAB!$F$14:$F$135,RAB!$C$14:$C$135,C225)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SUMIFS(RAB!$F$14:$F$135,RAB!$C$14:$C$135,C226)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SUMIFS(RAB!$F$14:$F$135,RAB!$C$14:$C$135,C227)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SUMIFS(RAB!$F$14:$F$135,RAB!$C$14:$C$135,C228)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SUMIFS(RAB!$F$14:$F$135,RAB!$C$14:$C$135,C229)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SUMIFS(RAB!$F$14:$F$135,RAB!$C$14:$C$135,C230)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SUMIFS(RAB!$F$14:$F$135,RAB!$C$14:$C$135,C231)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SUMIFS(RAB!$F$14:$F$135,RAB!$C$14:$C$135,C232)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SUMIFS(RAB!$F$14:$F$135,RAB!$C$14:$C$135,C233)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SUMIFS(RAB!$F$14:$F$135,RAB!$C$14:$C$135,C234)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SUMIFS(RAB!$F$14:$F$135,RAB!$C$14:$C$135,C235)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SUMIFS(RAB!$F$14:$F$135,RAB!$C$14:$C$135,C236)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SUMIFS(RAB!$F$14:$F$135,RAB!$C$14:$C$135,C237)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SUMIFS(RAB!$F$14:$F$135,RAB!$C$14:$C$135,C238)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SUMIFS(RAB!$F$14:$F$135,RAB!$C$14:$C$135,C239)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SUMIFS(RAB!$F$14:$F$135,RAB!$C$14:$C$135,C240)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SUMIFS(RAB!$F$14:$F$135,RAB!$C$14:$C$135,C241)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SUMIFS(RAB!$F$14:$F$135,RAB!$C$14:$C$135,C242)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SUMIFS(RAB!$F$14:$F$135,RAB!$C$14:$C$135,C243)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SUMIFS(RAB!$F$14:$F$135,RAB!$C$14:$C$135,C244)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SUMIFS(RAB!$F$14:$F$135,RAB!$C$14:$C$135,C245)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SUMIFS(RAB!$F$14:$F$135,RAB!$C$14:$C$135,C246)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SUMIFS(RAB!$F$14:$F$135,RAB!$C$14:$C$135,C247)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SUMIFS(RAB!$F$14:$F$135,RAB!$C$14:$C$135,C248)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SUMIFS(RAB!$F$14:$F$135,RAB!$C$14:$C$135,C249)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SUMIFS(RAB!$F$14:$F$135,RAB!$C$14:$C$135,C250)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SUMIFS(RAB!$F$14:$F$135,RAB!$C$14:$C$135,C251)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SUMIFS(RAB!$F$14:$F$135,RAB!$C$14:$C$135,C252)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SUMIFS(RAB!$F$14:$F$135,RAB!$C$14:$C$135,C253)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SUMIFS(RAB!$F$14:$F$135,RAB!$C$14:$C$135,C254)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SUMIFS(RAB!$F$14:$F$135,RAB!$C$14:$C$135,C255)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SUMIFS(RAB!$F$14:$F$135,RAB!$C$14:$C$135,C256)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SUMIFS(RAB!$F$14:$F$135,RAB!$C$14:$C$135,C257)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SUMIFS(RAB!$F$14:$F$135,RAB!$C$14:$C$135,C258)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SUMIFS(RAB!$F$14:$F$135,RAB!$C$14:$C$135,C259)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SUMIFS(RAB!$F$14:$F$135,RAB!$C$14:$C$135,C260)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SUMIFS(RAB!$F$14:$F$135,RAB!$C$14:$C$135,C261)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SUMIFS(RAB!$F$14:$F$135,RAB!$C$14:$C$135,C262)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SUMIFS(RAB!$F$14:$F$135,RAB!$C$14:$C$135,C263)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SUMIFS(RAB!$F$14:$F$135,RAB!$C$14:$C$135,C264)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SUMIFS(RAB!$F$14:$F$135,RAB!$C$14:$C$135,C265)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SUMIFS(RAB!$F$14:$F$135,RAB!$C$14:$C$135,C266)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SUMIFS(RAB!$F$14:$F$135,RAB!$C$14:$C$135,C267)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SUMIFS(RAB!$F$14:$F$135,RAB!$C$14:$C$135,C268)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SUMIFS(RAB!$F$14:$F$135,RAB!$C$14:$C$135,C269)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SUMIFS(RAB!$F$14:$F$135,RAB!$C$14:$C$135,C270)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SUMIFS(RAB!$F$14:$F$135,RAB!$C$14:$C$135,C271)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SUMIFS(RAB!$F$14:$F$135,RAB!$C$14:$C$135,C272)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SUMIFS(RAB!$F$14:$F$135,RAB!$C$14:$C$135,C273)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SUMIFS(RAB!$F$14:$F$135,RAB!$C$14:$C$135,C274)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SUMIFS(RAB!$F$14:$F$135,RAB!$C$14:$C$135,C275)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SUMIFS(RAB!$F$14:$F$135,RAB!$C$14:$C$135,C276)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SUMIFS(RAB!$F$14:$F$135,RAB!$C$14:$C$135,C277)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SUMIFS(RAB!$F$14:$F$135,RAB!$C$14:$C$135,C278)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SUMIFS(RAB!$F$14:$F$135,RAB!$C$14:$C$135,C279)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SUMIFS(RAB!$F$14:$F$135,RAB!$C$14:$C$135,C280)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SUMIFS(RAB!$F$14:$F$135,RAB!$C$14:$C$135,C281)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SUMIFS(RAB!$F$14:$F$135,RAB!$C$14:$C$135,C282)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SUMIFS(RAB!$F$14:$F$135,RAB!$C$14:$C$135,C283)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SUMIFS(RAB!$F$14:$F$135,RAB!$C$14:$C$135,C284)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SUMIFS(RAB!$F$14:$F$135,RAB!$C$14:$C$135,C285)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SUMIFS(RAB!$F$14:$F$135,RAB!$C$14:$C$135,C286)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SUMIFS(RAB!$F$14:$F$135,RAB!$C$14:$C$135,C287)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SUMIFS(RAB!$F$14:$F$135,RAB!$C$14:$C$135,C288)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SUMIFS(RAB!$F$14:$F$135,RAB!$C$14:$C$135,C289)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SUMIFS(RAB!$F$14:$F$135,RAB!$C$14:$C$135,C290)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SUMIFS(RAB!$F$14:$F$135,RAB!$C$14:$C$135,C291)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SUMIFS(RAB!$F$14:$F$135,RAB!$C$14:$C$135,C292)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SUMIFS(RAB!$F$14:$F$135,RAB!$C$14:$C$135,C293)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SUMIFS(RAB!$F$14:$F$135,RAB!$C$14:$C$135,C294)</f>
        <v>1</v>
      </c>
      <c r="E294" s="24">
        <f t="shared" ca="1" si="22"/>
        <v>1</v>
      </c>
      <c r="F294" s="24">
        <f ca="1">IF(D294=0,0,SUM($E$223:E294))</f>
        <v>2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SUMIFS(RAB!$F$14:$F$135,RAB!$C$14:$C$135,C295)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SUMIFS(RAB!$F$14:$F$135,RAB!$C$14:$C$135,C296)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SUMIFS(RAB!$F$14:$F$135,RAB!$C$14:$C$135,C297)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SUMIFS(RAB!$F$14:$F$135,RAB!$C$14:$C$135,C298)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SUMIFS(RAB!$F$14:$F$135,RAB!$C$14:$C$135,C299)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SUMIFS(RAB!$F$14:$F$135,RAB!$C$14:$C$135,C300)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SUMIFS(RAB!$F$14:$F$135,RAB!$C$14:$C$135,C301)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SUMIFS(RAB!$F$14:$F$135,RAB!$C$14:$C$135,C302)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SUMIFS(RAB!$F$14:$F$135,RAB!$C$14:$C$135,C303)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SUMIFS(RAB!$F$14:$F$135,RAB!$C$14:$C$135,C304)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SUMIFS(RAB!$F$14:$F$135,RAB!$C$14:$C$135,C305)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SUMIFS(RAB!$F$14:$F$135,RAB!$C$14:$C$135,C306)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SUMIFS(RAB!$F$14:$F$135,RAB!$C$14:$C$135,C307)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SUMIFS(RAB!$F$14:$F$135,RAB!$C$14:$C$135,C308)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SUMIFS(RAB!$F$14:$F$135,RAB!$C$14:$C$135,C309)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SUMIFS(RAB!$F$14:$F$135,RAB!$C$14:$C$135,C310)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SUMIFS(RAB!$F$14:$F$135,RAB!$C$14:$C$135,C311)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SUMIFS(RAB!$F$14:$F$135,RAB!$C$14:$C$135,C312)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SUMIFS(RAB!$F$14:$F$135,RAB!$C$14:$C$135,C313)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SUMIFS(RAB!$F$14:$F$135,RAB!$C$14:$C$135,C314)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SUMIFS(RAB!$F$14:$F$135,RAB!$C$14:$C$135,C315)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SUMIFS(RAB!$F$14:$F$135,RAB!$C$14:$C$135,C316)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SUMIFS(RAB!$F$14:$F$135,RAB!$C$14:$C$135,C317)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SUMIFS(RAB!$F$14:$F$135,RAB!$C$14:$C$135,C318)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SUMIFS(RAB!$F$14:$F$135,RAB!$C$14:$C$135,C319)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SUMIFS(RAB!$F$14:$F$135,RAB!$C$14:$C$135,C320)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SUMIFS(RAB!$F$14:$F$135,RAB!$C$14:$C$135,C321)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SUMIFS(RAB!$F$14:$F$135,RAB!$C$14:$C$135,C322)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SUMIFS(RAB!$F$14:$F$135,RAB!$C$14:$C$135,C323)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SUMIFS(RAB!$F$14:$F$135,RAB!$C$14:$C$135,C324)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SUMIFS(RAB!$F$14:$F$135,RAB!$C$14:$C$135,C325)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SUMIFS(RAB!$F$14:$F$135,RAB!$C$14:$C$135,C326)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SUMIFS(RAB!$F$14:$F$135,RAB!$C$14:$C$135,C327)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SUMIFS(RAB!$F$14:$F$135,RAB!$C$14:$C$135,C328)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SUMIFS(RAB!$F$14:$F$135,RAB!$C$14:$C$135,C329)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SUMIFS(RAB!$F$14:$F$135,RAB!$C$14:$C$135,C330)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SUMIFS(RAB!$F$14:$F$135,RAB!$C$14:$C$135,C331)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SUMIFS(RAB!$F$14:$F$135,RAB!$C$14:$C$135,C332)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SUMIFS(RAB!$F$14:$F$135,RAB!$C$14:$C$135,C333)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SUMIFS(RAB!$F$14:$F$135,RAB!$C$14:$C$135,C334)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SUMIFS(RAB!$F$14:$F$135,RAB!$C$14:$C$135,C335)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SUMIFS(RAB!$F$14:$F$135,RAB!$C$14:$C$135,C336)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SUMIFS(RAB!$F$14:$F$135,RAB!$C$14:$C$135,C337)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SUMIFS(RAB!$F$14:$F$135,RAB!$C$14:$C$135,C338)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SUMIFS(RAB!$F$14:$F$135,RAB!$C$14:$C$135,C339)</f>
        <v>9</v>
      </c>
      <c r="E339" s="24">
        <f t="shared" ca="1" si="22"/>
        <v>1</v>
      </c>
      <c r="F339" s="24">
        <f ca="1">IF(D339=0,0,SUM($E$223:E339))</f>
        <v>6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SUMIFS(RAB!$F$14:$F$135,RAB!$C$14:$C$135,C340)</f>
        <v>200</v>
      </c>
      <c r="E340" s="24">
        <f t="shared" ca="1" si="22"/>
        <v>1</v>
      </c>
      <c r="F340" s="24">
        <f ca="1">IF(D340=0,0,SUM($E$223:E340))</f>
        <v>7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SUMIFS(RAB!$F$14:$F$135,RAB!$C$14:$C$135,C341)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SUMIFS(RAB!$F$14:$F$135,RAB!$C$14:$C$135,C342)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SUMIFS(RAB!$F$14:$F$135,RAB!$C$14:$C$135,C343)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SUMIFS(RAB!$F$14:$F$135,RAB!$C$14:$C$135,C344)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SUMIFS(RAB!$F$14:$F$135,RAB!$C$14:$C$135,C345)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SUMIFS(RAB!$F$14:$F$135,RAB!$C$14:$C$135,C346)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SUMIFS(RAB!$F$14:$F$135,RAB!$C$14:$C$135,C347)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SUMIFS(RAB!$F$14:$F$135,RAB!$C$14:$C$135,C348)</f>
        <v>40</v>
      </c>
      <c r="E348" s="24">
        <f t="shared" ca="1" si="22"/>
        <v>1</v>
      </c>
      <c r="F348" s="24">
        <f ca="1">IF(D348=0,0,SUM($E$223:E348))</f>
        <v>8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SUMIFS(RAB!$F$14:$F$135,RAB!$C$14:$C$135,C349)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SUMIFS(RAB!$F$14:$F$135,RAB!$C$14:$C$135,C350)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SUMIFS(RAB!$F$14:$F$135,RAB!$C$14:$C$135,C351)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SUMIFS(RAB!$F$14:$F$135,RAB!$C$14:$C$135,C352)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SUMIFS(RAB!$F$14:$F$135,RAB!$C$14:$C$135,C353)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SUMIFS(RAB!$F$14:$F$135,RAB!$C$14:$C$135,C354)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SUMIFS(RAB!$F$14:$F$135,RAB!$C$14:$C$135,C355)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SUMIFS(RAB!$F$14:$F$135,RAB!$C$14:$C$135,C356)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SUMIFS(RAB!$F$14:$F$135,RAB!$C$14:$C$135,C357)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SUMIFS(RAB!$F$14:$F$135,RAB!$C$14:$C$135,C358)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SUMIFS(RAB!$F$14:$F$135,RAB!$C$14:$C$135,C359)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SUMIFS(RAB!$F$14:$F$135,RAB!$C$14:$C$135,C360)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SUMIFS(RAB!$F$14:$F$135,RAB!$C$14:$C$135,C361)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SUMIFS(RAB!$F$14:$F$135,RAB!$C$14:$C$135,C362)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SUMIFS(RAB!$F$14:$F$135,RAB!$C$14:$C$135,C363)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SUMIFS(RAB!$F$14:$F$135,RAB!$C$14:$C$135,C364)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SUMIFS(RAB!$F$14:$F$135,RAB!$C$14:$C$135,C365)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SUMIFS(RAB!$F$14:$F$135,RAB!$C$14:$C$135,C366)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SUMIFS(RAB!$F$14:$F$135,RAB!$C$14:$C$135,C367)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SUMIFS(RAB!$F$14:$F$135,RAB!$C$14:$C$135,C368)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SUMIFS(RAB!$F$14:$F$135,RAB!$C$14:$C$135,C369)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SUMIFS(RAB!$F$14:$F$135,RAB!$C$14:$C$135,C370)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SUMIFS(RAB!$F$14:$F$135,RAB!$C$14:$C$135,C371)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SUMIFS(RAB!$F$14:$F$135,RAB!$C$14:$C$135,C372)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SUMIFS(RAB!$F$14:$F$135,RAB!$C$14:$C$135,C373)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51" priority="5" operator="equal">
      <formula>0</formula>
    </cfRule>
  </conditionalFormatting>
  <conditionalFormatting sqref="C16:C165">
    <cfRule type="cellIs" dxfId="50" priority="4" stopIfTrue="1" operator="equal">
      <formula>0</formula>
    </cfRule>
  </conditionalFormatting>
  <conditionalFormatting sqref="C16:E165">
    <cfRule type="cellIs" dxfId="49" priority="1" operator="equal">
      <formula>0</formula>
    </cfRule>
  </conditionalFormatting>
  <conditionalFormatting sqref="D224:F373">
    <cfRule type="cellIs" dxfId="48" priority="8" operator="equal">
      <formula>0</formula>
    </cfRule>
  </conditionalFormatting>
  <conditionalFormatting sqref="E1:E3 G1:G115 E6:E15 H12:I12 N13 F14:F15 H14:K115 E166:K166 G166:G223 E167:F167 H167:K167">
    <cfRule type="cellIs" dxfId="47" priority="43" stopIfTrue="1" operator="equal">
      <formula>0</formula>
    </cfRule>
  </conditionalFormatting>
  <conditionalFormatting sqref="E171:E65536">
    <cfRule type="cellIs" dxfId="46" priority="9" stopIfTrue="1" operator="equal">
      <formula>0</formula>
    </cfRule>
  </conditionalFormatting>
  <conditionalFormatting sqref="G224">
    <cfRule type="cellIs" dxfId="45" priority="10" operator="equal">
      <formula>0</formula>
    </cfRule>
  </conditionalFormatting>
  <conditionalFormatting sqref="G225:G65536">
    <cfRule type="cellIs" dxfId="44" priority="14" stopIfTrue="1" operator="equal">
      <formula>0</formula>
    </cfRule>
  </conditionalFormatting>
  <conditionalFormatting sqref="R14:T166 G116:K165">
    <cfRule type="cellIs" dxfId="43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0"/>
    </row>
    <row r="4" spans="4:4" ht="57" customHeight="1">
      <c r="D4" s="390">
        <v>3</v>
      </c>
    </row>
    <row r="5" spans="4:4" ht="57" customHeight="1">
      <c r="D5" s="39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1433" activePane="bottomRight" state="frozen"/>
      <selection activeCell="D209" sqref="D209"/>
      <selection pane="topRight" activeCell="D209" sqref="D209"/>
      <selection pane="bottomLeft" activeCell="D209" sqref="D209"/>
      <selection pane="bottomRight" activeCell="C1441" sqref="C1441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0" t="s">
        <v>41</v>
      </c>
      <c r="C2" s="560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1" t="s">
        <v>23</v>
      </c>
      <c r="C4" s="562" t="s">
        <v>1012</v>
      </c>
      <c r="D4" s="562" t="s">
        <v>42</v>
      </c>
      <c r="E4" s="561" t="s">
        <v>43</v>
      </c>
      <c r="F4" s="108" t="s">
        <v>1599</v>
      </c>
      <c r="G4" s="108" t="s">
        <v>1598</v>
      </c>
      <c r="H4" s="559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1"/>
      <c r="C5" s="562"/>
      <c r="D5" s="562"/>
      <c r="E5" s="561"/>
      <c r="F5" s="93"/>
      <c r="G5" s="93"/>
      <c r="H5" s="559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6" t="s">
        <v>1613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>IF($I$5=$G$4,G217,(IF($I$5=$F$4,F217,0)))</f>
        <v>205700</v>
      </c>
      <c r="J217" s="163">
        <f>IF(D217="MDU-KD",1,0)</f>
        <v>1</v>
      </c>
      <c r="K217" s="155">
        <f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>IF(L217=0,M217,L217)</f>
        <v>114</v>
      </c>
      <c r="O217" s="155">
        <f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7" t="s">
        <v>1614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>IF($I$5=$G$4,G229,(IF($I$5=$F$4,F229,0)))</f>
        <v>53300</v>
      </c>
      <c r="J229" s="163">
        <f>IF(D229="MDU-KD",1,0)</f>
        <v>1</v>
      </c>
      <c r="K229" s="155">
        <f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>IF(L229=0,M229,L229)</f>
        <v>122</v>
      </c>
      <c r="O229" s="155">
        <f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2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2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2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2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2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2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2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2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2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22"/>
        <v>12700</v>
      </c>
      <c r="J267" s="163">
        <f t="shared" ref="J267:J331" si="23">IF(D267="MDU-KD",1,0)</f>
        <v>0</v>
      </c>
      <c r="K267" s="155">
        <f t="shared" ref="K267:K331" si="2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25">IF(L267=0,M267,L267)</f>
        <v>201227140.79893059</v>
      </c>
      <c r="O267" s="155">
        <f t="shared" ref="O267:O331" si="2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22"/>
        <v>31544.499999999996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22"/>
        <v>10700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22"/>
        <v>13000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22"/>
        <v>14800</v>
      </c>
      <c r="J271" s="163">
        <f t="shared" si="23"/>
        <v>0</v>
      </c>
      <c r="K271" s="155">
        <f t="shared" si="2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25"/>
        <v>201227144.79893059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22"/>
        <v>18900</v>
      </c>
      <c r="J272" s="163">
        <f t="shared" si="23"/>
        <v>0</v>
      </c>
      <c r="K272" s="155">
        <f t="shared" si="2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25"/>
        <v>201227145.79893059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22"/>
        <v>331500</v>
      </c>
      <c r="J273" s="163">
        <f t="shared" si="23"/>
        <v>1</v>
      </c>
      <c r="K273" s="155">
        <f t="shared" si="2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25"/>
        <v>138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22"/>
        <v>402600</v>
      </c>
      <c r="J274" s="163">
        <f t="shared" si="23"/>
        <v>1</v>
      </c>
      <c r="K274" s="155">
        <f t="shared" si="2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25"/>
        <v>139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22"/>
        <v>0</v>
      </c>
      <c r="J275" s="163">
        <f t="shared" si="23"/>
        <v>0</v>
      </c>
      <c r="K275" s="155">
        <f t="shared" si="2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25"/>
        <v>0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22"/>
        <v>0</v>
      </c>
      <c r="J276" s="163">
        <f t="shared" si="23"/>
        <v>0</v>
      </c>
      <c r="K276" s="155">
        <f t="shared" si="2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25"/>
        <v>0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22"/>
        <v>38700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22"/>
        <v>44900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22"/>
        <v>49000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7" t="s">
        <v>1615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>IF($I$5=$G$4,G280,(IF($I$5=$F$4,F280,0)))</f>
        <v>49000</v>
      </c>
      <c r="J280" s="163">
        <f>IF(D280="MDU-KD",1,0)</f>
        <v>0</v>
      </c>
      <c r="K280" s="155">
        <f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>IF(L280=0,M280,L280)</f>
        <v>201227149.79893059</v>
      </c>
      <c r="O280" s="155">
        <f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22"/>
        <v>64300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22"/>
        <v>92500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22"/>
        <v>100800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22"/>
        <v>118100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22"/>
        <v>128800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22"/>
        <v>55600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22"/>
        <v>69300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22"/>
        <v>73300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22"/>
        <v>77000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22"/>
        <v>97000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22"/>
        <v>153400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22"/>
        <v>138500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22"/>
        <v>127000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22"/>
        <v>162600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22"/>
        <v>173800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22"/>
        <v>19200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22"/>
        <v>24400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22"/>
        <v>26200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22"/>
        <v>29100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22"/>
        <v>39500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22"/>
        <v>51500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22"/>
        <v>76500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22"/>
        <v>25600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22"/>
        <v>28600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22"/>
        <v>42400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22"/>
        <v>53500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22"/>
        <v>66800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22"/>
        <v>88000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22"/>
        <v>110900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22"/>
        <v>190300</v>
      </c>
      <c r="J314" s="163">
        <f t="shared" si="23"/>
        <v>0</v>
      </c>
      <c r="K314" s="155">
        <f t="shared" si="2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25"/>
        <v>201227183.79893059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22"/>
        <v>219900</v>
      </c>
      <c r="J315" s="163">
        <f t="shared" si="23"/>
        <v>0</v>
      </c>
      <c r="K315" s="155">
        <f t="shared" si="2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25"/>
        <v>201227184.79893059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22"/>
        <v>176100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25"/>
        <v>201227185.79893059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22"/>
        <v>0</v>
      </c>
      <c r="J317" s="163">
        <f t="shared" si="23"/>
        <v>0</v>
      </c>
      <c r="K317" s="155">
        <f t="shared" si="2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25"/>
        <v>0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22"/>
        <v>0</v>
      </c>
      <c r="J318" s="163">
        <f t="shared" si="23"/>
        <v>0</v>
      </c>
      <c r="K318" s="155">
        <f t="shared" si="2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25"/>
        <v>0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22"/>
        <v>125000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22"/>
        <v>74000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22"/>
        <v>4500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22"/>
        <v>3888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22"/>
        <v>2900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22"/>
        <v>11500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27">IF($I$5=$G$4,G325,(IF($I$5=$F$4,F325,0)))</f>
        <v>6100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27"/>
        <v>58600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27"/>
        <v>15400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27"/>
        <v>5300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27"/>
        <v>8900</v>
      </c>
      <c r="J329" s="163">
        <f t="shared" si="23"/>
        <v>0</v>
      </c>
      <c r="K329" s="155">
        <f t="shared" si="2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25"/>
        <v>201227196.79893059</v>
      </c>
      <c r="O329" s="155">
        <f t="shared" si="2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27"/>
        <v>15800</v>
      </c>
      <c r="J330" s="163">
        <f t="shared" si="23"/>
        <v>0</v>
      </c>
      <c r="K330" s="155">
        <f t="shared" si="2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25"/>
        <v>201227197.79893059</v>
      </c>
      <c r="O330" s="155">
        <f t="shared" si="2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27"/>
        <v>13800</v>
      </c>
      <c r="J331" s="163">
        <f t="shared" si="23"/>
        <v>0</v>
      </c>
      <c r="K331" s="155">
        <f t="shared" si="2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25"/>
        <v>201227198.79893059</v>
      </c>
      <c r="O331" s="155">
        <f t="shared" si="2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27"/>
        <v>18100</v>
      </c>
      <c r="J332" s="163">
        <f t="shared" ref="J332:J395" si="28">IF(D332="MDU-KD",1,0)</f>
        <v>0</v>
      </c>
      <c r="K332" s="155">
        <f t="shared" ref="K332:K395" si="29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30">IF(L332=0,M332,L332)</f>
        <v>201227199.79893059</v>
      </c>
      <c r="O332" s="155">
        <f t="shared" ref="O332:O395" si="31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27"/>
        <v>19800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27"/>
        <v>23100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27"/>
        <v>38500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27"/>
        <v>22900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27"/>
        <v>25000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27"/>
        <v>25000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27"/>
        <v>18400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27"/>
        <v>18400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27"/>
        <v>18400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27"/>
        <v>61300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27"/>
        <v>61300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27"/>
        <v>61300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27"/>
        <v>64500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27"/>
        <v>69000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27"/>
        <v>82500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27"/>
        <v>79800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27"/>
        <v>72100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27"/>
        <v>86800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27"/>
        <v>105600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27"/>
        <v>491900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27"/>
        <v>29555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27"/>
        <v>37200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27"/>
        <v>29600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27"/>
        <v>37144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27"/>
        <v>5700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27"/>
        <v>5700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27"/>
        <v>10700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27"/>
        <v>6200</v>
      </c>
      <c r="J360" s="163">
        <f t="shared" si="28"/>
        <v>0</v>
      </c>
      <c r="K360" s="155">
        <f t="shared" si="29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30"/>
        <v>201227227.79893059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27"/>
        <v>446100</v>
      </c>
      <c r="J361" s="163">
        <f t="shared" si="28"/>
        <v>0</v>
      </c>
      <c r="K361" s="155">
        <f t="shared" si="29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30"/>
        <v>201227228.79893059</v>
      </c>
      <c r="O361" s="155">
        <f t="shared" si="31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27"/>
        <v>45796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30"/>
        <v>201227229.79893059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27"/>
        <v>0</v>
      </c>
      <c r="J363" s="163">
        <f t="shared" si="28"/>
        <v>0</v>
      </c>
      <c r="K363" s="155">
        <f t="shared" si="29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30"/>
        <v>0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27"/>
        <v>0</v>
      </c>
      <c r="J364" s="163">
        <f t="shared" si="28"/>
        <v>0</v>
      </c>
      <c r="K364" s="155">
        <f t="shared" si="29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30"/>
        <v>0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27"/>
        <v>37000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27"/>
        <v>55500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27"/>
        <v>67800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27"/>
        <v>98600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27"/>
        <v>135199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27"/>
        <v>7789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27"/>
        <v>47459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27"/>
        <v>112500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27"/>
        <v>35800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27"/>
        <v>36000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27"/>
        <v>36000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27"/>
        <v>40000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27"/>
        <v>55000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27"/>
        <v>45500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27"/>
        <v>45500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27"/>
        <v>45500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27"/>
        <v>7938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27"/>
        <v>30000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27"/>
        <v>26500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27"/>
        <v>26500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27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27"/>
        <v>33600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32">IF($I$5=$G$4,G390,(IF($I$5=$F$4,F390,0)))</f>
        <v>33600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32"/>
        <v>33600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32"/>
        <v>32600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32"/>
        <v>45000</v>
      </c>
      <c r="J393" s="163">
        <f t="shared" si="28"/>
        <v>0</v>
      </c>
      <c r="K393" s="155">
        <f t="shared" si="29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30"/>
        <v>201227258.79893059</v>
      </c>
      <c r="O393" s="155">
        <f t="shared" si="31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32"/>
        <v>92500</v>
      </c>
      <c r="J394" s="163">
        <f t="shared" si="28"/>
        <v>0</v>
      </c>
      <c r="K394" s="155">
        <f t="shared" si="29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0"/>
        <v>201227259.79893059</v>
      </c>
      <c r="O394" s="155">
        <f t="shared" si="31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32"/>
        <v>67700</v>
      </c>
      <c r="J395" s="163">
        <f t="shared" si="28"/>
        <v>0</v>
      </c>
      <c r="K395" s="155">
        <f t="shared" si="29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0"/>
        <v>201227260.79893059</v>
      </c>
      <c r="O395" s="155">
        <f t="shared" si="31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32"/>
        <v>13100</v>
      </c>
      <c r="J396" s="163">
        <f t="shared" ref="J396:J459" si="33">IF(D396="MDU-KD",1,0)</f>
        <v>0</v>
      </c>
      <c r="K396" s="155">
        <f t="shared" ref="K396:K459" si="34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35">IF(L396=0,M396,L396)</f>
        <v>201227261.79893059</v>
      </c>
      <c r="O396" s="155">
        <f t="shared" ref="O396:O459" si="36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32"/>
        <v>404600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32"/>
        <v>445573.55999999994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32"/>
        <v>89200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32"/>
        <v>95000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32"/>
        <v>15500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32"/>
        <v>37700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32"/>
        <v>28100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32"/>
        <v>22400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32"/>
        <v>15900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32"/>
        <v>22500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32"/>
        <v>36500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32"/>
        <v>10800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32"/>
        <v>13600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32"/>
        <v>17100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32"/>
        <v>32400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32"/>
        <v>40400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32"/>
        <v>283100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32"/>
        <v>380500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32"/>
        <v>559200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32"/>
        <v>41800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32"/>
        <v>120000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32"/>
        <v>120900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32"/>
        <v>78500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32"/>
        <v>85300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32"/>
        <v>107300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32"/>
        <v>112100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32"/>
        <v>75400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32"/>
        <v>23500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32"/>
        <v>26500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32"/>
        <v>34000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32"/>
        <v>49600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32"/>
        <v>56300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32"/>
        <v>33800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32"/>
        <v>40200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32"/>
        <v>46800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32"/>
        <v>9500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32"/>
        <v>185200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32"/>
        <v>175000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32"/>
        <v>30000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32"/>
        <v>49500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32"/>
        <v>120000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32"/>
        <v>4880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32"/>
        <v>1308700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32"/>
        <v>12500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32"/>
        <v>9700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32"/>
        <v>24300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32"/>
        <v>39204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32"/>
        <v>547900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32"/>
        <v>87000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32"/>
        <v>173400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3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32"/>
        <v>3965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32"/>
        <v>31800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32"/>
        <v>33800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32"/>
        <v>38600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32"/>
        <v>76300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32"/>
        <v>97400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37">IF($I$5=$G$4,G454,(IF($I$5=$F$4,F454,0)))</f>
        <v>4520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37"/>
        <v>7290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37"/>
        <v>4500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37"/>
        <v>106300</v>
      </c>
      <c r="J457" s="163">
        <f t="shared" si="33"/>
        <v>0</v>
      </c>
      <c r="K457" s="155">
        <f t="shared" si="34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35"/>
        <v>201227322.79893059</v>
      </c>
      <c r="O457" s="155">
        <f t="shared" si="36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37"/>
        <v>116800</v>
      </c>
      <c r="J458" s="163">
        <f t="shared" si="33"/>
        <v>0</v>
      </c>
      <c r="K458" s="155">
        <f t="shared" si="34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35"/>
        <v>201227323.79893059</v>
      </c>
      <c r="O458" s="155">
        <f t="shared" si="36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37"/>
        <v>11400</v>
      </c>
      <c r="J459" s="163">
        <f t="shared" si="33"/>
        <v>0</v>
      </c>
      <c r="K459" s="155">
        <f t="shared" si="34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35"/>
        <v>201227324.79893059</v>
      </c>
      <c r="O459" s="155">
        <f t="shared" si="36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37"/>
        <v>29600</v>
      </c>
      <c r="J460" s="163">
        <f t="shared" ref="J460:J523" si="38">IF(D460="MDU-KD",1,0)</f>
        <v>0</v>
      </c>
      <c r="K460" s="155">
        <f t="shared" ref="K460:K523" si="39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40">IF(L460=0,M460,L460)</f>
        <v>201227325.79893059</v>
      </c>
      <c r="O460" s="155">
        <f t="shared" ref="O460:O523" si="41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37"/>
        <v>290142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37"/>
        <v>265680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37"/>
        <v>265680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37"/>
        <v>20898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37"/>
        <v>20700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37"/>
        <v>13600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37"/>
        <v>27900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37"/>
        <v>27815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37"/>
        <v>20800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37"/>
        <v>23936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37"/>
        <v>31590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37"/>
        <v>32500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37"/>
        <v>47300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37"/>
        <v>61560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37"/>
        <v>79056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37"/>
        <v>81984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37"/>
        <v>7320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37"/>
        <v>8784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37"/>
        <v>52704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37"/>
        <v>67344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37"/>
        <v>40000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37"/>
        <v>150000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37"/>
        <v>4212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37"/>
        <v>50000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37"/>
        <v>32500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37"/>
        <v>37500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37"/>
        <v>47800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37"/>
        <v>52500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37"/>
        <v>63500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37"/>
        <v>67500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37"/>
        <v>53000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37"/>
        <v>34000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37"/>
        <v>39500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37"/>
        <v>41900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37"/>
        <v>44400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37"/>
        <v>61800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37"/>
        <v>68600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37"/>
        <v>68600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37"/>
        <v>29600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37"/>
        <v>34500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37"/>
        <v>44800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37"/>
        <v>49500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37"/>
        <v>57690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37"/>
        <v>60300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37"/>
        <v>39900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37"/>
        <v>34500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37"/>
        <v>37000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37"/>
        <v>39500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37"/>
        <v>41900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37"/>
        <v>51100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37"/>
        <v>51800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37"/>
        <v>51800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37"/>
        <v>75420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37"/>
        <v>118440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37"/>
        <v>136980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37"/>
        <v>172350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37"/>
        <v>180000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42">IF($I$5=$G$4,G518,(IF($I$5=$F$4,F518,0)))</f>
        <v>135800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42"/>
        <v>104200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42"/>
        <v>16000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42"/>
        <v>118530</v>
      </c>
      <c r="J521" s="163">
        <f t="shared" si="38"/>
        <v>0</v>
      </c>
      <c r="K521" s="155">
        <f t="shared" si="39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40"/>
        <v>201227386.79893059</v>
      </c>
      <c r="O521" s="155">
        <f t="shared" si="41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3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42"/>
        <v>3711.24</v>
      </c>
      <c r="J522" s="163">
        <f t="shared" si="38"/>
        <v>0</v>
      </c>
      <c r="K522" s="155">
        <f t="shared" si="39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0"/>
        <v>201227387.79893059</v>
      </c>
      <c r="O522" s="155">
        <f t="shared" si="41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42"/>
        <v>28000</v>
      </c>
      <c r="J523" s="163">
        <f t="shared" si="38"/>
        <v>0</v>
      </c>
      <c r="K523" s="155">
        <f t="shared" si="39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0"/>
        <v>201227388.79893059</v>
      </c>
      <c r="O523" s="155">
        <f t="shared" si="41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42"/>
        <v>33501.866666666669</v>
      </c>
      <c r="J524" s="163">
        <f t="shared" ref="J524:J587" si="43">IF(D524="MDU-KD",1,0)</f>
        <v>0</v>
      </c>
      <c r="K524" s="155">
        <f t="shared" ref="K524:K587" si="44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45">IF(L524=0,M524,L524)</f>
        <v>201227389.79893059</v>
      </c>
      <c r="O524" s="155">
        <f t="shared" ref="O524:O587" si="46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42"/>
        <v>23310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42"/>
        <v>129000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42"/>
        <v>145400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42"/>
        <v>351751.73281450948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42"/>
        <v>250000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42"/>
        <v>485097.76536861184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42"/>
        <v>423009.82499999995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42"/>
        <v>302149.875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42"/>
        <v>335990.66099999991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42"/>
        <v>2300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42"/>
        <v>88000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42"/>
        <v>72400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42"/>
        <v>123500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42"/>
        <v>71000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42"/>
        <v>36000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42"/>
        <v>17820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42"/>
        <v>22900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42"/>
        <v>30800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42"/>
        <v>33900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42"/>
        <v>30800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42"/>
        <v>33900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42"/>
        <v>12510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42"/>
        <v>15500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42"/>
        <v>19500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42"/>
        <v>28400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42"/>
        <v>28314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42"/>
        <v>3510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42"/>
        <v>2100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42"/>
        <v>40000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42"/>
        <v>8550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42"/>
        <v>45000</v>
      </c>
      <c r="J556" s="163">
        <f t="shared" si="43"/>
        <v>0</v>
      </c>
      <c r="K556" s="155">
        <f t="shared" si="44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45"/>
        <v>201227421.79893059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42"/>
        <v>2500</v>
      </c>
      <c r="J557" s="163">
        <f t="shared" si="43"/>
        <v>0</v>
      </c>
      <c r="K557" s="155">
        <f t="shared" si="44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45"/>
        <v>201227422.79893059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42"/>
        <v>2500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45"/>
        <v>201227423.79893059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42"/>
        <v>0</v>
      </c>
      <c r="J559" s="163">
        <f t="shared" si="43"/>
        <v>0</v>
      </c>
      <c r="K559" s="155">
        <f t="shared" si="44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45"/>
        <v>0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42"/>
        <v>0</v>
      </c>
      <c r="J560" s="163">
        <f t="shared" si="43"/>
        <v>0</v>
      </c>
      <c r="K560" s="155">
        <f t="shared" si="44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45"/>
        <v>0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42"/>
        <v>6628600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42"/>
        <v>6628600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42"/>
        <v>6628600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42"/>
        <v>7100700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42"/>
        <v>7100700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42"/>
        <v>7100700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42"/>
        <v>5488400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42"/>
        <v>5488400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42"/>
        <v>5488400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42"/>
        <v>6240400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42"/>
        <v>6240400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42"/>
        <v>6240400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42"/>
        <v>6159100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42"/>
        <v>6159100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42"/>
        <v>6159100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42"/>
        <v>5602900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42"/>
        <v>8046300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42"/>
        <v>8104600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42"/>
        <v>8104600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42"/>
        <v>5819700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42"/>
        <v>5819700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47">IF($I$5=$G$4,G583,(IF($I$5=$F$4,F583,0)))</f>
        <v>3183200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47"/>
        <v>3183200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47"/>
        <v>3789300</v>
      </c>
      <c r="J585" s="163">
        <f t="shared" si="43"/>
        <v>0</v>
      </c>
      <c r="K585" s="155">
        <f t="shared" si="44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45"/>
        <v>201227448.79893059</v>
      </c>
      <c r="O585" s="155">
        <f t="shared" si="46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47"/>
        <v>3269900</v>
      </c>
      <c r="J586" s="163">
        <f t="shared" si="43"/>
        <v>0</v>
      </c>
      <c r="K586" s="155">
        <f t="shared" si="44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45"/>
        <v>201227449.79893059</v>
      </c>
      <c r="O586" s="155">
        <f t="shared" si="46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47"/>
        <v>4656900</v>
      </c>
      <c r="J587" s="163">
        <f t="shared" si="43"/>
        <v>0</v>
      </c>
      <c r="K587" s="155">
        <f t="shared" si="44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45"/>
        <v>201227450.79893059</v>
      </c>
      <c r="O587" s="155">
        <f t="shared" si="46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47"/>
        <v>8149400</v>
      </c>
      <c r="J588" s="163">
        <f t="shared" ref="J588:J651" si="48">IF(D588="MDU-KD",1,0)</f>
        <v>0</v>
      </c>
      <c r="K588" s="155">
        <f t="shared" ref="K588:K651" si="49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50">IF(L588=0,M588,L588)</f>
        <v>201227451.79893059</v>
      </c>
      <c r="O588" s="155">
        <f t="shared" ref="O588:O651" si="51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47"/>
        <v>38800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47"/>
        <v>12500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47"/>
        <v>6100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47"/>
        <v>38718.5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47"/>
        <v>218596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47"/>
        <v>680475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47"/>
        <v>1000000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47"/>
        <v>25100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47"/>
        <v>8900</v>
      </c>
      <c r="J597" s="163">
        <f t="shared" si="48"/>
        <v>0</v>
      </c>
      <c r="K597" s="155">
        <f t="shared" si="49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50"/>
        <v>201227460.79893059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47"/>
        <v>4100</v>
      </c>
      <c r="J598" s="163">
        <f t="shared" si="48"/>
        <v>0</v>
      </c>
      <c r="K598" s="155">
        <f t="shared" si="49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50"/>
        <v>201227461.79893059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50"/>
        <v>201227462.79893059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47"/>
        <v>0</v>
      </c>
      <c r="J600" s="163">
        <f t="shared" si="48"/>
        <v>0</v>
      </c>
      <c r="K600" s="155">
        <f t="shared" si="49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50"/>
        <v>0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47"/>
        <v>0</v>
      </c>
      <c r="J601" s="163">
        <f t="shared" si="48"/>
        <v>0</v>
      </c>
      <c r="K601" s="155">
        <f t="shared" si="49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50"/>
        <v>0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47"/>
        <v>200000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47"/>
        <v>2172500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47"/>
        <v>700000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47"/>
        <v>490000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47"/>
        <v>224000</v>
      </c>
      <c r="J606" s="163">
        <f t="shared" si="48"/>
        <v>0</v>
      </c>
      <c r="K606" s="155">
        <f t="shared" si="49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50"/>
        <v>201227467.79893059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47"/>
        <v>15000</v>
      </c>
      <c r="J607" s="163">
        <f t="shared" si="48"/>
        <v>0</v>
      </c>
      <c r="K607" s="155">
        <f t="shared" si="49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50"/>
        <v>201227468.79893059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47"/>
        <v>1510245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50"/>
        <v>201227469.79893059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47"/>
        <v>0</v>
      </c>
      <c r="J609" s="163">
        <f t="shared" si="48"/>
        <v>0</v>
      </c>
      <c r="K609" s="155">
        <f t="shared" si="49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50"/>
        <v>0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47"/>
        <v>0</v>
      </c>
      <c r="J610" s="163">
        <f t="shared" si="48"/>
        <v>0</v>
      </c>
      <c r="K610" s="155">
        <f t="shared" si="49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50"/>
        <v>0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47"/>
        <v>16226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47"/>
        <v>19947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47"/>
        <v>26711.899999999998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47"/>
        <v>84820.5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47"/>
        <v>33550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47"/>
        <v>16833.560000000001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47"/>
        <v>72742.5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47"/>
        <v>45445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47"/>
        <v>84820.5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47"/>
        <v>53866.659999999996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47"/>
        <v>38499.54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47"/>
        <v>31720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47"/>
        <v>51240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47"/>
        <v>3477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47"/>
        <v>3477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47"/>
        <v>5531.48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47"/>
        <v>15000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47"/>
        <v>154106.74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47"/>
        <v>16226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47"/>
        <v>61732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47"/>
        <v>34299.08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47"/>
        <v>19825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48"/>
        <v>0</v>
      </c>
      <c r="K633" s="155">
        <f t="shared" si="49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50"/>
        <v>201227492.79893059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47"/>
        <v>23180</v>
      </c>
      <c r="J634" s="163">
        <f t="shared" si="48"/>
        <v>0</v>
      </c>
      <c r="K634" s="155">
        <f t="shared" si="49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50"/>
        <v>201227493.79893059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47"/>
        <v>482893.08</v>
      </c>
      <c r="J635" s="163">
        <f t="shared" si="48"/>
        <v>0</v>
      </c>
      <c r="K635" s="155">
        <f t="shared" si="49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50"/>
        <v>201227494.79893059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47"/>
        <v>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47"/>
        <v/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47"/>
        <v/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47"/>
        <v>300000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47"/>
        <v>95147.5</v>
      </c>
      <c r="J640" s="163">
        <f t="shared" si="48"/>
        <v>0</v>
      </c>
      <c r="K640" s="155">
        <f t="shared" si="49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50"/>
        <v>0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47"/>
        <v>74125</v>
      </c>
      <c r="J641" s="163">
        <f t="shared" si="48"/>
        <v>0</v>
      </c>
      <c r="K641" s="155">
        <f t="shared" si="49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50"/>
        <v>0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47"/>
        <v>150000</v>
      </c>
      <c r="J642" s="163">
        <f t="shared" si="48"/>
        <v>0</v>
      </c>
      <c r="K642" s="155">
        <f t="shared" si="49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50"/>
        <v>0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47"/>
        <v>242999.99999999997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47"/>
        <v>1124962.5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47"/>
        <v>5065452.75</v>
      </c>
      <c r="J645" s="163">
        <f t="shared" si="48"/>
        <v>0</v>
      </c>
      <c r="K645" s="155">
        <f t="shared" si="49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50"/>
        <v>201227497.79893059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47"/>
        <v>5065452.75</v>
      </c>
      <c r="J646" s="163">
        <f t="shared" si="48"/>
        <v>0</v>
      </c>
      <c r="K646" s="155">
        <f t="shared" si="49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50"/>
        <v>201227498.79893059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47"/>
        <v>185000</v>
      </c>
      <c r="J647" s="163">
        <f t="shared" si="48"/>
        <v>0</v>
      </c>
      <c r="K647" s="155">
        <f t="shared" si="49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50"/>
        <v>201227499.79893059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47"/>
        <v>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47"/>
        <v>0</v>
      </c>
      <c r="J649" s="163">
        <f t="shared" si="48"/>
        <v>0</v>
      </c>
      <c r="K649" s="155">
        <f t="shared" si="49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50"/>
        <v>0</v>
      </c>
      <c r="O649" s="155">
        <f t="shared" si="51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47"/>
        <v>200000</v>
      </c>
      <c r="J650" s="163">
        <f t="shared" si="48"/>
        <v>0</v>
      </c>
      <c r="K650" s="155">
        <f t="shared" si="49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0"/>
        <v>0</v>
      </c>
      <c r="O650" s="155">
        <f t="shared" si="51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47"/>
        <v>230000</v>
      </c>
      <c r="J651" s="163">
        <f t="shared" si="48"/>
        <v>0</v>
      </c>
      <c r="K651" s="155">
        <f t="shared" si="49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0"/>
        <v>0</v>
      </c>
      <c r="O651" s="155">
        <f t="shared" si="51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47"/>
        <v>55000</v>
      </c>
      <c r="J652" s="163">
        <f t="shared" ref="J652:J715" si="52">IF(D652="MDU-KD",1,0)</f>
        <v>0</v>
      </c>
      <c r="K652" s="155">
        <f t="shared" ref="K652:K715" si="53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54">IF(L652=0,M652,L652)</f>
        <v>0</v>
      </c>
      <c r="O652" s="155">
        <f t="shared" ref="O652:O715" si="55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47"/>
        <v>93000</v>
      </c>
      <c r="J653" s="163">
        <f t="shared" si="52"/>
        <v>0</v>
      </c>
      <c r="K653" s="155">
        <f t="shared" si="53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54"/>
        <v>0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47"/>
        <v>85000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47"/>
        <v>12000</v>
      </c>
      <c r="J656" s="163">
        <f t="shared" si="52"/>
        <v>0</v>
      </c>
      <c r="K656" s="155">
        <f t="shared" si="53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54"/>
        <v>201227500.79893059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47"/>
        <v>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47"/>
        <v>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47"/>
        <v>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47"/>
        <v>19800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47"/>
        <v>20500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47"/>
        <v>27500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47"/>
        <v>14900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47"/>
        <v>33200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47"/>
        <v>35700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47"/>
        <v>33200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47"/>
        <v>37600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47"/>
        <v>33200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47"/>
        <v>39800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47"/>
        <v>29400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47"/>
        <v>35700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47"/>
        <v>30700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47"/>
        <v>22700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47"/>
        <v>19800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47"/>
        <v>19800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47"/>
        <v>20500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47"/>
        <v>20500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47"/>
        <v>27500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47"/>
        <v>27500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47"/>
        <v>22100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47"/>
        <v>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47"/>
        <v>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47"/>
        <v>53200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47"/>
        <v>61300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56">IF($I$5=$G$4,G685,(IF($I$5=$F$4,F685,0)))</f>
        <v>61300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56"/>
        <v>80100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56"/>
        <v>35700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56"/>
        <v>80100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56"/>
        <v>84000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56"/>
        <v>44000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56"/>
        <v>70300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56"/>
        <v>70300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56"/>
        <v>45200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56"/>
        <v>85800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56"/>
        <v>85800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56"/>
        <v>87700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56"/>
        <v>50100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56"/>
        <v>50100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56"/>
        <v>53800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56"/>
        <v>53800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56"/>
        <v>53800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56"/>
        <v>45100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56"/>
        <v>44300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56"/>
        <v>44300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56"/>
        <v>44300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56"/>
        <v>93100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56"/>
        <v>93100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56"/>
        <v>88700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56"/>
        <v>61700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56"/>
        <v>61700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56"/>
        <v>99900</v>
      </c>
      <c r="J713" s="163">
        <f t="shared" si="52"/>
        <v>0</v>
      </c>
      <c r="K713" s="155">
        <f t="shared" si="53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54"/>
        <v>0</v>
      </c>
      <c r="O713" s="155">
        <f t="shared" si="55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56"/>
        <v>99900</v>
      </c>
      <c r="J714" s="163">
        <f t="shared" si="52"/>
        <v>0</v>
      </c>
      <c r="K714" s="155">
        <f t="shared" si="53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4"/>
        <v>0</v>
      </c>
      <c r="O714" s="155">
        <f t="shared" si="55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56"/>
        <v>79500</v>
      </c>
      <c r="J715" s="163">
        <f t="shared" si="52"/>
        <v>0</v>
      </c>
      <c r="K715" s="155">
        <f t="shared" si="53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4"/>
        <v>0</v>
      </c>
      <c r="O715" s="155">
        <f t="shared" si="55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56"/>
        <v>74200</v>
      </c>
      <c r="J716" s="163">
        <f t="shared" ref="J716:J779" si="57">IF(D716="MDU-KD",1,0)</f>
        <v>0</v>
      </c>
      <c r="K716" s="155">
        <f t="shared" ref="K716:K779" si="58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59">IF(L716=0,M716,L716)</f>
        <v>0</v>
      </c>
      <c r="O716" s="155">
        <f t="shared" ref="O716:O779" si="60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56"/>
        <v>87700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56"/>
        <v>112300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56"/>
        <v>87700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56"/>
        <v>129900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56"/>
        <v>127200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56"/>
        <v>116900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56"/>
        <v>123100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56"/>
        <v>111100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56"/>
        <v>129300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56"/>
        <v>259800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56"/>
        <v>264700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56"/>
        <v>173300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56"/>
        <v>279500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56"/>
        <v>106800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56"/>
        <v>122100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56"/>
        <v>130500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56"/>
        <v>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56"/>
        <v>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56"/>
        <v>85500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56"/>
        <v>64700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56"/>
        <v>105500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56"/>
        <v>110000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56"/>
        <v>141700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56"/>
        <v>214400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56"/>
        <v>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56"/>
        <v>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56"/>
        <v>99400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56"/>
        <v>99400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56"/>
        <v>99100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56"/>
        <v>105000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56"/>
        <v>111000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56"/>
        <v>81300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61">IF($I$5=$G$4,G749,(IF($I$5=$F$4,F749,0)))</f>
        <v>84900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61"/>
        <v>94400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61"/>
        <v>106300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61"/>
        <v>104200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61"/>
        <v>104200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61"/>
        <v>132200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61"/>
        <v>121300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61"/>
        <v>82500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61"/>
        <v>106900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61"/>
        <v>109200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61"/>
        <v>96900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61"/>
        <v>128100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61"/>
        <v>104400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61"/>
        <v>214400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61"/>
        <v>122500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61"/>
        <v>134700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61"/>
        <v>158500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61"/>
        <v>103500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61"/>
        <v>108700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61"/>
        <v>111100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61"/>
        <v>254900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61"/>
        <v>197500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61"/>
        <v>261100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61"/>
        <v>197500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61"/>
        <v>218400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61"/>
        <v>222500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61"/>
        <v>173300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61"/>
        <v>279500</v>
      </c>
      <c r="J777" s="163">
        <f t="shared" si="57"/>
        <v>0</v>
      </c>
      <c r="K777" s="155">
        <f t="shared" si="58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59"/>
        <v>0</v>
      </c>
      <c r="O777" s="155">
        <f t="shared" si="60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61"/>
        <v>111200</v>
      </c>
      <c r="J778" s="163">
        <f t="shared" si="57"/>
        <v>0</v>
      </c>
      <c r="K778" s="155">
        <f t="shared" si="58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59"/>
        <v>0</v>
      </c>
      <c r="O778" s="155">
        <f t="shared" si="60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61"/>
        <v>111200</v>
      </c>
      <c r="J779" s="163">
        <f t="shared" si="57"/>
        <v>0</v>
      </c>
      <c r="K779" s="155">
        <f t="shared" si="58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59"/>
        <v>0</v>
      </c>
      <c r="O779" s="155">
        <f t="shared" si="60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61"/>
        <v>89800</v>
      </c>
      <c r="J780" s="163">
        <f t="shared" ref="J780:J843" si="62">IF(D780="MDU-KD",1,0)</f>
        <v>0</v>
      </c>
      <c r="K780" s="155">
        <f t="shared" ref="K780:K843" si="63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64">IF(L780=0,M780,L780)</f>
        <v>0</v>
      </c>
      <c r="O780" s="155">
        <f t="shared" ref="O780:O843" si="65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61"/>
        <v>134800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61"/>
        <v>134800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61"/>
        <v>102600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61"/>
        <v>136300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61"/>
        <v>140800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61"/>
        <v>109700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61"/>
        <v>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61"/>
        <v>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61"/>
        <v>197700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61"/>
        <v>201000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61"/>
        <v>201000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61"/>
        <v>210800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61"/>
        <v>210800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61"/>
        <v>256400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61"/>
        <v>253500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61"/>
        <v>253500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61"/>
        <v>253500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61"/>
        <v>259800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61"/>
        <v>285900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61"/>
        <v>428800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61"/>
        <v>428800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61"/>
        <v>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61"/>
        <v>42800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61"/>
        <v>48100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61"/>
        <v>55300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61"/>
        <v>51500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66">IF($I$5=$G$4,G809,(IF($I$5=$F$4,F809,0)))</f>
        <v>67900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66"/>
        <v>56700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66"/>
        <v>596900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66"/>
        <v>401500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66"/>
        <v>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66"/>
        <v>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61"/>
        <v>56400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61"/>
        <v>65400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61"/>
        <v>16200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61"/>
        <v>21200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61"/>
        <v>173100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61"/>
        <v>1539900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61"/>
        <v>26500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61"/>
        <v>31200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61"/>
        <v>31200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61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61"/>
        <v>48800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67">IF($I$5=$G$4,G827,(IF($I$5=$F$4,F827,0)))</f>
        <v>58400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67"/>
        <v>58400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67"/>
        <v>45900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67"/>
        <v>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67"/>
        <v>68300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67"/>
        <v>48800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67"/>
        <v>3843100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67"/>
        <v>47200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67"/>
        <v>69000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67"/>
        <v>31300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67"/>
        <v>45600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67"/>
        <v>43500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67"/>
        <v>43500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67"/>
        <v>36600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67"/>
        <v>60500</v>
      </c>
      <c r="J841" s="163">
        <f t="shared" si="62"/>
        <v>0</v>
      </c>
      <c r="K841" s="155">
        <f t="shared" si="63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64"/>
        <v>0</v>
      </c>
      <c r="O841" s="155">
        <f t="shared" si="65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67"/>
        <v>60500</v>
      </c>
      <c r="J842" s="163">
        <f t="shared" si="62"/>
        <v>0</v>
      </c>
      <c r="K842" s="155">
        <f t="shared" si="63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64"/>
        <v>0</v>
      </c>
      <c r="O842" s="155">
        <f t="shared" si="65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67"/>
        <v>60500</v>
      </c>
      <c r="J843" s="163">
        <f t="shared" si="62"/>
        <v>0</v>
      </c>
      <c r="K843" s="155">
        <f t="shared" si="63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64"/>
        <v>0</v>
      </c>
      <c r="O843" s="155">
        <f t="shared" si="65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67"/>
        <v>169600</v>
      </c>
      <c r="J844" s="163">
        <f t="shared" ref="J844:J907" si="68">IF(D844="MDU-KD",1,0)</f>
        <v>0</v>
      </c>
      <c r="K844" s="155">
        <f t="shared" ref="K844:K907" si="69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70">IF(L844=0,M844,L844)</f>
        <v>0</v>
      </c>
      <c r="O844" s="155">
        <f t="shared" ref="O844:O907" si="71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67"/>
        <v>169600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67"/>
        <v>64700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67"/>
        <v>55500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67"/>
        <v>55500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67"/>
        <v>762100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67"/>
        <v>14900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67"/>
        <v>614700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67"/>
        <v>829000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67"/>
        <v>179200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67"/>
        <v>14370.766666666666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67"/>
        <v>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67"/>
        <v>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67"/>
        <v>1568200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67"/>
        <v>3467100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67"/>
        <v>3467100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67"/>
        <v>1515700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67"/>
        <v>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67"/>
        <v>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67"/>
        <v>475700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67"/>
        <v>475700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67"/>
        <v>371300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67"/>
        <v>351700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67"/>
        <v>300100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67"/>
        <v>290900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67"/>
        <v>290600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67"/>
        <v>276000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67"/>
        <v>268100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67"/>
        <v>222400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67"/>
        <v>222400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67"/>
        <v>197300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67"/>
        <v>149200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67"/>
        <v>390200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67"/>
        <v>307600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67"/>
        <v>261600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72">IF($I$5=$G$4,G880,(IF($I$5=$F$4,F880,0)))</f>
        <v>198700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72"/>
        <v>272600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72"/>
        <v>243400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72"/>
        <v>179300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72"/>
        <v>151900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72"/>
        <v>136485.10978061482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72"/>
        <v>125481.16630030893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72"/>
        <v>115200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72"/>
        <v>115000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72"/>
        <v>101800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72"/>
        <v>523270.00000000006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72"/>
        <v>523270.00000000006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72"/>
        <v>408430.00000000006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72"/>
        <v>386870.00000000006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72"/>
        <v>330110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72"/>
        <v>319990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72"/>
        <v>319660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72"/>
        <v>271700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72"/>
        <v>303600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72"/>
        <v>294910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72"/>
        <v>244640.00000000003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72"/>
        <v>244640.00000000003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72"/>
        <v>217030.00000000003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72"/>
        <v>164120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72"/>
        <v>429220.00000000006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72"/>
        <v>338360</v>
      </c>
      <c r="J905" s="163">
        <f t="shared" si="68"/>
        <v>0</v>
      </c>
      <c r="K905" s="155">
        <f t="shared" si="69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70"/>
        <v>0</v>
      </c>
      <c r="O905" s="155">
        <f t="shared" si="71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72"/>
        <v>287760</v>
      </c>
      <c r="J906" s="163">
        <f t="shared" si="68"/>
        <v>0</v>
      </c>
      <c r="K906" s="155">
        <f t="shared" si="69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0"/>
        <v>0</v>
      </c>
      <c r="O906" s="155">
        <f t="shared" si="71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72"/>
        <v>218570.00000000003</v>
      </c>
      <c r="J907" s="163">
        <f t="shared" si="68"/>
        <v>0</v>
      </c>
      <c r="K907" s="155">
        <f t="shared" si="69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0"/>
        <v>0</v>
      </c>
      <c r="O907" s="155">
        <f t="shared" si="71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72"/>
        <v>299860</v>
      </c>
      <c r="J908" s="163">
        <f t="shared" ref="J908:J971" si="73">IF(D908="MDU-KD",1,0)</f>
        <v>0</v>
      </c>
      <c r="K908" s="155">
        <f t="shared" ref="K908:K971" si="74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75">IF(L908=0,M908,L908)</f>
        <v>0</v>
      </c>
      <c r="O908" s="155">
        <f t="shared" ref="O908:O971" si="76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72"/>
        <v>267740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72"/>
        <v>197230.00000000003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72"/>
        <v>167090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72"/>
        <v>150133.62075867632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72"/>
        <v>138029.28293033983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72"/>
        <v>126720.00000000001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72"/>
        <v>126500.00000000001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72"/>
        <v>111980.00000000001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72"/>
        <v>382400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72"/>
        <v>662100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72"/>
        <v>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72"/>
        <v>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72"/>
        <v>285500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72"/>
        <v>240000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72"/>
        <v>220800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72"/>
        <v>164300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72"/>
        <v>111700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72"/>
        <v>223500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72"/>
        <v>179000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72"/>
        <v>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72"/>
        <v>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72"/>
        <v>9514000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72"/>
        <v>9514000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72"/>
        <v>7426000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72"/>
        <v>7034000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72"/>
        <v>6002000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72"/>
        <v>5818000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72"/>
        <v>5812000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72"/>
        <v>4940000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72"/>
        <v>5520000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72"/>
        <v>5362000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72"/>
        <v>4448000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72"/>
        <v>4448000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72"/>
        <v>3946000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72"/>
        <v>2984000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72"/>
        <v>7804000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77">IF($I$5=$G$4,G945,(IF($I$5=$F$4,F945,0)))</f>
        <v>6152000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77"/>
        <v>5232000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77"/>
        <v>3974000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77"/>
        <v>5452000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77"/>
        <v>4868000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77"/>
        <v>3586000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77"/>
        <v>3038000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77"/>
        <v>2729702.1956122965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77"/>
        <v>2509623.3260061787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77"/>
        <v>2304000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77"/>
        <v>2300000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77"/>
        <v>2036000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77"/>
        <v>10465400.000000002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77"/>
        <v>10465400.000000002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77"/>
        <v>8168600.0000000009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77"/>
        <v>7737400.0000000009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77"/>
        <v>6602200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77"/>
        <v>6399800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77"/>
        <v>6393200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77"/>
        <v>5434000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77"/>
        <v>4892800.0000000009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77"/>
        <v>4892800.0000000009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77"/>
        <v>4340600.0000000009</v>
      </c>
      <c r="J969" s="163">
        <f t="shared" si="73"/>
        <v>0</v>
      </c>
      <c r="K969" s="155">
        <f t="shared" si="74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75"/>
        <v>0</v>
      </c>
      <c r="O969" s="155">
        <f t="shared" si="76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77"/>
        <v>3282400</v>
      </c>
      <c r="J970" s="163">
        <f t="shared" si="73"/>
        <v>0</v>
      </c>
      <c r="K970" s="155">
        <f t="shared" si="74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75"/>
        <v>0</v>
      </c>
      <c r="O970" s="155">
        <f t="shared" si="76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77"/>
        <v>8584400.0000000019</v>
      </c>
      <c r="J971" s="163">
        <f t="shared" si="73"/>
        <v>0</v>
      </c>
      <c r="K971" s="155">
        <f t="shared" si="74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75"/>
        <v>0</v>
      </c>
      <c r="O971" s="155">
        <f t="shared" si="76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77"/>
        <v>6767200</v>
      </c>
      <c r="J972" s="163">
        <f t="shared" ref="J972:J1035" si="78">IF(D972="MDU-KD",1,0)</f>
        <v>0</v>
      </c>
      <c r="K972" s="155">
        <f t="shared" ref="K972:K1035" si="79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80">IF(L972=0,M972,L972)</f>
        <v>0</v>
      </c>
      <c r="O972" s="155">
        <f t="shared" ref="O972:O1035" si="81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77"/>
        <v>5755200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77"/>
        <v>4371400.0000000009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77"/>
        <v>5997200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77"/>
        <v>5354800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77"/>
        <v>3944600.0000000005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77"/>
        <v>3341800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77"/>
        <v>3002672.4151735264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77"/>
        <v>2760585.6586067965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77"/>
        <v>2534400.0000000005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77"/>
        <v>2530000.0000000005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77"/>
        <v>2239600.0000000005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77"/>
        <v>13242832.628818881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77"/>
        <v>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77"/>
        <v>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77"/>
        <v>5710000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77"/>
        <v>4800000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77"/>
        <v>4416000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77"/>
        <v>3286000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77"/>
        <v>2234000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77"/>
        <v>4470000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77"/>
        <v>3580000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77"/>
        <v>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77"/>
        <v>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77"/>
        <v>355700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77"/>
        <v>346400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77"/>
        <v>571650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82">IF($I$5=$G$4,G999,(IF($I$5=$F$4,F999,0)))</f>
        <v>1182800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82"/>
        <v>2953300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82"/>
        <v>1627400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82"/>
        <v>3686500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82"/>
        <v>3784400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82"/>
        <v>4127900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82"/>
        <v>4540700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82"/>
        <v>614700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82"/>
        <v>829000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82"/>
        <v>0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82"/>
        <v>0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82"/>
        <v>367100.81715813151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82"/>
        <v>367100.81715813151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82"/>
        <v>483136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82"/>
        <v>483136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82"/>
        <v>542850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82"/>
        <v>542850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82"/>
        <v>580849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82"/>
        <v>580849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82"/>
        <v>640563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82"/>
        <v>640563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82"/>
        <v>777904.11254937388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82"/>
        <v>777904.11254937388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82"/>
        <v>776275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82"/>
        <v>776275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82"/>
        <v>852274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82"/>
        <v>852274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82"/>
        <v>1280085.3169734846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82"/>
        <v>1280085.3169734846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82"/>
        <v>901131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82"/>
        <v>901131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82"/>
        <v>928273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82"/>
        <v>928273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82"/>
        <v>1063986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82"/>
        <v>1063986</v>
      </c>
      <c r="J1033" s="163">
        <f t="shared" si="78"/>
        <v>0</v>
      </c>
      <c r="K1033" s="155">
        <f t="shared" si="79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80"/>
        <v>0</v>
      </c>
      <c r="O1033" s="155">
        <f t="shared" si="81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82"/>
        <v>1503365.2512190146</v>
      </c>
      <c r="J1034" s="163">
        <f t="shared" si="78"/>
        <v>0</v>
      </c>
      <c r="K1034" s="155">
        <f t="shared" si="79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0"/>
        <v>0</v>
      </c>
      <c r="O1034" s="155">
        <f t="shared" si="81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82"/>
        <v>1503365.2512190146</v>
      </c>
      <c r="J1035" s="163">
        <f t="shared" si="78"/>
        <v>0</v>
      </c>
      <c r="K1035" s="155">
        <f t="shared" si="79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0"/>
        <v>0</v>
      </c>
      <c r="O1035" s="155">
        <f t="shared" si="81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82"/>
        <v>0</v>
      </c>
      <c r="J1036" s="163">
        <f t="shared" ref="J1036:J1099" si="83">IF(D1036="MDU-KD",1,0)</f>
        <v>0</v>
      </c>
      <c r="K1036" s="155">
        <f t="shared" ref="K1036:K1099" si="84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85">IF(L1036=0,M1036,L1036)</f>
        <v>0</v>
      </c>
      <c r="O1036" s="155">
        <f t="shared" ref="O1036:O1099" si="86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82"/>
        <v>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82"/>
        <v>13800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82"/>
        <v>12700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82"/>
        <v>1570000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82"/>
        <v>1255000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82"/>
        <v>700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82"/>
        <v>1700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82"/>
        <v>33700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82"/>
        <v>20100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82"/>
        <v>4566.666666666667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82"/>
        <v>1300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82"/>
        <v>2600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82"/>
        <v>6300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82"/>
        <v>6900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82"/>
        <v>8600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82"/>
        <v>162200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82"/>
        <v>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82"/>
        <v>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82"/>
        <v>25000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82"/>
        <v>60300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82"/>
        <v>54400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82"/>
        <v>106400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82"/>
        <v>798700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87">IF($I$5=$G$4,G1060,(IF($I$5=$F$4,F1060,0)))</f>
        <v>1641700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87"/>
        <v>39800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87"/>
        <v>78000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87"/>
        <v>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87"/>
        <v>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87"/>
        <v>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87"/>
        <v>11880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87"/>
        <v>12300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87"/>
        <v>16500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87"/>
        <v>8940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87"/>
        <v>15060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87"/>
        <v>17820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87"/>
        <v>15060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87"/>
        <v>22560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87"/>
        <v>15060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87"/>
        <v>23880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87"/>
        <v>13320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87"/>
        <v>18180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87"/>
        <v>13920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87"/>
        <v>10320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87"/>
        <v>11880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87"/>
        <v>11880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87"/>
        <v>12300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87"/>
        <v>12300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87"/>
        <v>16500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87"/>
        <v>16500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87"/>
        <v>13260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87"/>
        <v>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87"/>
        <v>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87"/>
        <v>31920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87"/>
        <v>31920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87"/>
        <v>31920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87"/>
        <v>48060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87"/>
        <v>16200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87"/>
        <v>48060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87"/>
        <v>50400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87"/>
        <v>26400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87"/>
        <v>42180</v>
      </c>
      <c r="J1097" s="163">
        <f t="shared" si="83"/>
        <v>0</v>
      </c>
      <c r="K1097" s="155">
        <f t="shared" si="84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85"/>
        <v>0</v>
      </c>
      <c r="O1097" s="155">
        <f t="shared" si="86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87"/>
        <v>42180</v>
      </c>
      <c r="J1098" s="163">
        <f t="shared" si="83"/>
        <v>0</v>
      </c>
      <c r="K1098" s="155">
        <f t="shared" si="84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85"/>
        <v>0</v>
      </c>
      <c r="O1098" s="155">
        <f t="shared" si="86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87"/>
        <v>27120</v>
      </c>
      <c r="J1099" s="163">
        <f t="shared" si="83"/>
        <v>0</v>
      </c>
      <c r="K1099" s="155">
        <f t="shared" si="84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85"/>
        <v>0</v>
      </c>
      <c r="O1099" s="155">
        <f t="shared" si="86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87"/>
        <v>46800</v>
      </c>
      <c r="J1100" s="163">
        <f t="shared" ref="J1100:J1163" si="88">IF(D1100="MDU-KD",1,0)</f>
        <v>0</v>
      </c>
      <c r="K1100" s="155">
        <f t="shared" ref="K1100:K1163" si="89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90">IF(L1100=0,M1100,L1100)</f>
        <v>0</v>
      </c>
      <c r="O1100" s="155">
        <f t="shared" ref="O1100:O1163" si="91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87"/>
        <v>46800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87"/>
        <v>45240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87"/>
        <v>22740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87"/>
        <v>22740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87"/>
        <v>24420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87"/>
        <v>24420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87"/>
        <v>24420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87"/>
        <v>21720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87"/>
        <v>20100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87"/>
        <v>20100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87"/>
        <v>20100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87"/>
        <v>42240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87"/>
        <v>42240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87"/>
        <v>40260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87"/>
        <v>28020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87"/>
        <v>28020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87"/>
        <v>45360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87"/>
        <v>45360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87"/>
        <v>36060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87"/>
        <v>33660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87"/>
        <v>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92">IF($I$5=$G$4,G1124,(IF($I$5=$F$4,F1124,0)))</f>
        <v>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92"/>
        <v>38820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92"/>
        <v>38820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92"/>
        <v>47880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92"/>
        <v>49920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92"/>
        <v>64260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92"/>
        <v>110640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92"/>
        <v>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92"/>
        <v>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92"/>
        <v>45120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92"/>
        <v>45120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92"/>
        <v>44940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92"/>
        <v>47640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92"/>
        <v>50340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92"/>
        <v>43860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92"/>
        <v>50940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92"/>
        <v>50940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92"/>
        <v>48240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92"/>
        <v>47280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92"/>
        <v>59940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92"/>
        <v>55080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92"/>
        <v>44640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92"/>
        <v>58920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92"/>
        <v>58920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92"/>
        <v>58140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92"/>
        <v>58140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92"/>
        <v>56340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92"/>
        <v>105060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92"/>
        <v>57540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92"/>
        <v>61080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92"/>
        <v>71880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92"/>
        <v>61080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92"/>
        <v>55860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92"/>
        <v>58680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92"/>
        <v>115680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92"/>
        <v>118500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92"/>
        <v>118500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92"/>
        <v>117900</v>
      </c>
      <c r="J1161" s="163">
        <f t="shared" si="88"/>
        <v>0</v>
      </c>
      <c r="K1161" s="155">
        <f t="shared" si="89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90"/>
        <v>0</v>
      </c>
      <c r="O1161" s="155">
        <f t="shared" si="91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92"/>
        <v>120120</v>
      </c>
      <c r="J1162" s="163">
        <f t="shared" si="88"/>
        <v>0</v>
      </c>
      <c r="K1162" s="155">
        <f t="shared" si="89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0"/>
        <v>0</v>
      </c>
      <c r="O1162" s="155">
        <f t="shared" si="91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92"/>
        <v>50460</v>
      </c>
      <c r="J1163" s="163">
        <f t="shared" si="88"/>
        <v>0</v>
      </c>
      <c r="K1163" s="155">
        <f t="shared" si="89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0"/>
        <v>0</v>
      </c>
      <c r="O1163" s="155">
        <f t="shared" si="91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92"/>
        <v>50460</v>
      </c>
      <c r="J1164" s="163">
        <f t="shared" ref="J1164:J1227" si="93">IF(D1164="MDU-KD",1,0)</f>
        <v>0</v>
      </c>
      <c r="K1164" s="155">
        <f t="shared" ref="K1164:K1227" si="94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95">IF(L1164=0,M1164,L1164)</f>
        <v>0</v>
      </c>
      <c r="O1164" s="155">
        <f t="shared" ref="O1164:O1227" si="96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92"/>
        <v>41400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92"/>
        <v>61140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92"/>
        <v>61140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92"/>
        <v>55380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92"/>
        <v>61860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92"/>
        <v>63900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92"/>
        <v>59220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92"/>
        <v>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92"/>
        <v>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92"/>
        <v>89700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92"/>
        <v>91200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92"/>
        <v>95640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92"/>
        <v>95640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92"/>
        <v>116340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92"/>
        <v>115020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92"/>
        <v>115020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92"/>
        <v>115020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92"/>
        <v>117900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92"/>
        <v>136860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92"/>
        <v>220920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92"/>
        <v>220920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92"/>
        <v>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92"/>
        <v>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97">IF($I$5=$G$4,G1188,(IF($I$5=$F$4,F1188,0)))</f>
        <v>19440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97"/>
        <v>28860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97"/>
        <v>33180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97"/>
        <v>30900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97"/>
        <v>40740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97"/>
        <v>34020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97"/>
        <v>358140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97"/>
        <v>240900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97"/>
        <v>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97"/>
        <v>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97"/>
        <v>33840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97"/>
        <v>39240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97"/>
        <v>7320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97"/>
        <v>9600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97"/>
        <v>103860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97"/>
        <v>923940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97"/>
        <v>12060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97"/>
        <v>14160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97"/>
        <v>14160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97"/>
        <v>35040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97"/>
        <v>35040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97"/>
        <v>25860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97"/>
        <v>30960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97"/>
        <v>25860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97"/>
        <v>2305860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97"/>
        <v>18780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97"/>
        <v>27360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97"/>
        <v>18780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97"/>
        <v>27360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97"/>
        <v>18720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97"/>
        <v>18720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97"/>
        <v>18720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97"/>
        <v>25260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97"/>
        <v>25260</v>
      </c>
      <c r="J1225" s="163">
        <f t="shared" si="93"/>
        <v>0</v>
      </c>
      <c r="K1225" s="155">
        <f t="shared" si="94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95"/>
        <v>0</v>
      </c>
      <c r="O1225" s="155">
        <f t="shared" si="96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97"/>
        <v>22860</v>
      </c>
      <c r="J1226" s="163">
        <f t="shared" si="93"/>
        <v>0</v>
      </c>
      <c r="K1226" s="155">
        <f t="shared" si="94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95"/>
        <v>0</v>
      </c>
      <c r="O1226" s="155">
        <f t="shared" si="96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97"/>
        <v>74340</v>
      </c>
      <c r="J1227" s="163">
        <f t="shared" si="93"/>
        <v>0</v>
      </c>
      <c r="K1227" s="155">
        <f t="shared" si="94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95"/>
        <v>0</v>
      </c>
      <c r="O1227" s="155">
        <f t="shared" si="96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97"/>
        <v>74340</v>
      </c>
      <c r="J1228" s="163">
        <f t="shared" ref="J1228:J1291" si="98">IF(D1228="MDU-KD",1,0)</f>
        <v>0</v>
      </c>
      <c r="K1228" s="155">
        <f t="shared" ref="K1228:K1291" si="99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00">IF(L1228=0,M1228,L1228)</f>
        <v>0</v>
      </c>
      <c r="O1228" s="155">
        <f t="shared" ref="O1228:O1291" si="101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97"/>
        <v>27540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97"/>
        <v>21480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97"/>
        <v>25560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97"/>
        <v>457260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97"/>
        <v>6360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97"/>
        <v>368820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97"/>
        <v>497400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97"/>
        <v>107520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97"/>
        <v>8622.4599999999991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97"/>
        <v>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97"/>
        <v>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97"/>
        <v>940920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97"/>
        <v>2080260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97"/>
        <v>2080260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97"/>
        <v>909420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97"/>
        <v>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97"/>
        <v>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97"/>
        <v>285420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97"/>
        <v>285420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97"/>
        <v>222780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97"/>
        <v>211020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97"/>
        <v>180060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97"/>
        <v>174540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97"/>
        <v>174360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02">IF($I$5=$G$4,G1253,(IF($I$5=$F$4,F1253,0)))</f>
        <v>148200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02"/>
        <v>165600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02"/>
        <v>160860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02"/>
        <v>133440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02"/>
        <v>133440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02"/>
        <v>118380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02"/>
        <v>89520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02"/>
        <v>234120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02"/>
        <v>184560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02"/>
        <v>156960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02"/>
        <v>119220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02"/>
        <v>163560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02"/>
        <v>146040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02"/>
        <v>107580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02"/>
        <v>91140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02"/>
        <v>81891.065868368882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02"/>
        <v>75288.699780185358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02"/>
        <v>69120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02"/>
        <v>69000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02"/>
        <v>61080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02"/>
        <v>313962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02"/>
        <v>313962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02"/>
        <v>245058.00000000003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02"/>
        <v>232122.00000000003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02"/>
        <v>198066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02"/>
        <v>191994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02"/>
        <v>191796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02"/>
        <v>163020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02"/>
        <v>182160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02"/>
        <v>146784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02"/>
        <v>146784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02"/>
        <v>130218.00000000001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02"/>
        <v>98472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02"/>
        <v>257532.00000000003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02"/>
        <v>203016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02"/>
        <v>172656</v>
      </c>
      <c r="J1289" s="163">
        <f t="shared" si="98"/>
        <v>0</v>
      </c>
      <c r="K1289" s="155">
        <f t="shared" si="99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00"/>
        <v>0</v>
      </c>
      <c r="O1289" s="155">
        <f t="shared" si="101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02"/>
        <v>131142</v>
      </c>
      <c r="J1290" s="163">
        <f t="shared" si="98"/>
        <v>0</v>
      </c>
      <c r="K1290" s="155">
        <f t="shared" si="99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0"/>
        <v>0</v>
      </c>
      <c r="O1290" s="155">
        <f t="shared" si="101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02"/>
        <v>179916</v>
      </c>
      <c r="J1291" s="163">
        <f t="shared" si="98"/>
        <v>0</v>
      </c>
      <c r="K1291" s="155">
        <f t="shared" si="99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0"/>
        <v>0</v>
      </c>
      <c r="O1291" s="155">
        <f t="shared" si="101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02"/>
        <v>160644</v>
      </c>
      <c r="J1292" s="163">
        <f t="shared" ref="J1292:J1355" si="103">IF(D1292="MDU-KD",1,0)</f>
        <v>0</v>
      </c>
      <c r="K1292" s="155">
        <f t="shared" ref="K1292:K1355" si="104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05">IF(L1292=0,M1292,L1292)</f>
        <v>0</v>
      </c>
      <c r="O1292" s="155">
        <f t="shared" ref="O1292:O1355" si="106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02"/>
        <v>118338.00000000001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02"/>
        <v>100254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02"/>
        <v>90080.172455205786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02"/>
        <v>82817.569758203899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02"/>
        <v>76032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02"/>
        <v>75900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02"/>
        <v>67188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02"/>
        <v>397284.97886456642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02"/>
        <v>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02"/>
        <v>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02"/>
        <v>171300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02"/>
        <v>144000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02"/>
        <v>132480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02"/>
        <v>98580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02"/>
        <v>67020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02"/>
        <v>134100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02"/>
        <v>107400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02"/>
        <v>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02"/>
        <v>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02"/>
        <v>5708400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02"/>
        <v>5708400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02"/>
        <v>4455600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02"/>
        <v>4220400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02"/>
        <v>3601200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02"/>
        <v>3490800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07">IF($I$5=$G$4,G1319,(IF($I$5=$F$4,F1319,0)))</f>
        <v>2964000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07"/>
        <v>3312000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07"/>
        <v>3217200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07"/>
        <v>2668800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07"/>
        <v>2668800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07"/>
        <v>2367600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07"/>
        <v>1790400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07"/>
        <v>4682400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07"/>
        <v>3691200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07"/>
        <v>3139200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07"/>
        <v>2384400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07"/>
        <v>3271200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07"/>
        <v>2920800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07"/>
        <v>2151600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07"/>
        <v>1822800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07"/>
        <v>1637821.3173673779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07"/>
        <v>1505773.9956037072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07"/>
        <v>1382400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07"/>
        <v>1380000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07"/>
        <v>1221600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07"/>
        <v>6279240.0000000009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07"/>
        <v>6279240.0000000009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07"/>
        <v>4901160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07"/>
        <v>4642440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07"/>
        <v>3961320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07"/>
        <v>3839880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07"/>
        <v>3835920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07"/>
        <v>3260400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07"/>
        <v>3643200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07"/>
        <v>3538920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07"/>
        <v>2935680.0000000005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07"/>
        <v>2935680.0000000005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07"/>
        <v>2604360.0000000005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07"/>
        <v>1969440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07"/>
        <v>5150640.0000000009</v>
      </c>
      <c r="J1353" s="163">
        <f t="shared" si="103"/>
        <v>0</v>
      </c>
      <c r="K1353" s="155">
        <f t="shared" si="104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05"/>
        <v>0</v>
      </c>
      <c r="O1353" s="155">
        <f t="shared" si="106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07"/>
        <v>4060320</v>
      </c>
      <c r="J1354" s="163">
        <f t="shared" si="103"/>
        <v>0</v>
      </c>
      <c r="K1354" s="155">
        <f t="shared" si="104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05"/>
        <v>0</v>
      </c>
      <c r="O1354" s="155">
        <f t="shared" si="106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07"/>
        <v>3453120</v>
      </c>
      <c r="J1355" s="163">
        <f t="shared" si="103"/>
        <v>0</v>
      </c>
      <c r="K1355" s="155">
        <f t="shared" si="104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05"/>
        <v>0</v>
      </c>
      <c r="O1355" s="155">
        <f t="shared" si="106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07"/>
        <v>2622840.0000000005</v>
      </c>
      <c r="J1356" s="163">
        <f t="shared" ref="J1356:J1419" si="108">IF(D1356="MDU-KD",1,0)</f>
        <v>0</v>
      </c>
      <c r="K1356" s="155">
        <f t="shared" ref="K1356:K1419" si="109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10">IF(L1356=0,M1356,L1356)</f>
        <v>0</v>
      </c>
      <c r="O1356" s="155">
        <f t="shared" ref="O1356:O1419" si="111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07"/>
        <v>3598320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07"/>
        <v>3212880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07"/>
        <v>1801603.4491041158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07"/>
        <v>1656351.3951640779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07"/>
        <v>1520640.0000000002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07"/>
        <v>1518000.0000000002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07"/>
        <v>1343760.0000000002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07"/>
        <v>7945699.5772913285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07"/>
        <v>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07"/>
        <v>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07"/>
        <v>3426000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07"/>
        <v>2880000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07"/>
        <v>2649600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07"/>
        <v>1971600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07"/>
        <v>1340400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07"/>
        <v>2682000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07"/>
        <v>2148000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07"/>
        <v>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07"/>
        <v>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07"/>
        <v>213420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07"/>
        <v>207840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07"/>
        <v>342990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07"/>
        <v>709680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07"/>
        <v>1771980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07"/>
        <v>976440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07"/>
        <v>2211900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12">IF($I$5=$G$4,G1385,(IF($I$5=$F$4,F1385,0)))</f>
        <v>2270640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12"/>
        <v>2476740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12"/>
        <v>0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12"/>
        <v>0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12"/>
        <v>220260.49029487889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12"/>
        <v>220260.49029487889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12"/>
        <v>250977.08928157968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12"/>
        <v>289200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12"/>
        <v>277947.76156258525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12"/>
        <v>309000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12"/>
        <v>277947.76156258525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12"/>
        <v>345600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12"/>
        <v>438273.42456634069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12"/>
        <v>384600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13">IF($I$5=$G$4,G1399,(IF($I$5=$F$4,F1399,0)))</f>
        <v>466742.46752962429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13"/>
        <v>466742.46752962429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13"/>
        <v>513941.14402138407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13"/>
        <v>502200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13"/>
        <v>580618.63938275899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13"/>
        <v>522000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13"/>
        <v>768051.19018409075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13"/>
        <v>768051.19018409075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13"/>
        <v>755996.11696758063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13"/>
        <v>589800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13"/>
        <v>832055.45603276498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13"/>
        <v>636000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13"/>
        <v>842833.50878142437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13"/>
        <v>762000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13"/>
        <v>902019.15073140874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13"/>
        <v>902019.15073140874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13"/>
        <v>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13"/>
        <v>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13"/>
        <v>96180</v>
      </c>
      <c r="J1417" s="163">
        <f t="shared" si="108"/>
        <v>0</v>
      </c>
      <c r="K1417" s="155">
        <f t="shared" si="109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10"/>
        <v>0</v>
      </c>
      <c r="O1417" s="155">
        <f t="shared" si="111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13"/>
        <v>257820</v>
      </c>
      <c r="J1418" s="163">
        <f t="shared" si="108"/>
        <v>0</v>
      </c>
      <c r="K1418" s="155">
        <f t="shared" si="109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0"/>
        <v>0</v>
      </c>
      <c r="O1418" s="155">
        <f t="shared" si="111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13"/>
        <v>299160</v>
      </c>
      <c r="J1419" s="163">
        <f t="shared" si="108"/>
        <v>0</v>
      </c>
      <c r="K1419" s="155">
        <f t="shared" si="109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0"/>
        <v>0</v>
      </c>
      <c r="O1419" s="155">
        <f t="shared" si="111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13"/>
        <v>246960</v>
      </c>
      <c r="J1420" s="163">
        <f t="shared" ref="J1420:J1457" si="114">IF(D1420="MDU-KD",1,0)</f>
        <v>0</v>
      </c>
      <c r="K1420" s="155">
        <f t="shared" ref="K1420:K1457" si="115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16">IF(L1420=0,M1420,L1420)</f>
        <v>0</v>
      </c>
      <c r="O1420" s="155">
        <f t="shared" ref="O1420:O1457" si="117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13"/>
        <v>286461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13"/>
        <v>300600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13"/>
        <v>358140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13"/>
        <v>341777.99941898551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13"/>
        <v>395879.58401850733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13"/>
        <v>6240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13"/>
        <v>5760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13"/>
        <v>337284.9788645666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13"/>
        <v>269827.98309165332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13"/>
        <v>420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13"/>
        <v>720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13"/>
        <v>15300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13"/>
        <v>9120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4">
        <v>2740</v>
      </c>
      <c r="G1436" s="414">
        <v>2740</v>
      </c>
      <c r="H1436" s="177"/>
      <c r="I1436" s="176">
        <f t="shared" si="113"/>
        <v>2740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18">IF($I$5=$G$4,G1437,(IF($I$5=$F$4,F1437,0)))</f>
        <v>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18"/>
        <v>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18"/>
        <v>15000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18"/>
        <v>36180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18"/>
        <v>32640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18"/>
        <v>63840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19">IF($I$5=$G$4,G1443,(IF($I$5=$F$4,F1443,0)))</f>
        <v>450000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19"/>
        <v>985020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19"/>
        <v>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19"/>
        <v>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19"/>
        <v>2.5000000000000001E-2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19"/>
        <v>800000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19"/>
        <v>300000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19"/>
        <v>300000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19"/>
        <v>57250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19"/>
        <v>13770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19"/>
        <v>29730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19"/>
        <v>250000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19"/>
        <v>54500</v>
      </c>
      <c r="J1455" s="163">
        <f t="shared" si="114"/>
        <v>0</v>
      </c>
      <c r="K1455" s="155">
        <f t="shared" si="115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16"/>
        <v>0</v>
      </c>
      <c r="O1455" s="155">
        <f t="shared" si="117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19"/>
        <v>816100</v>
      </c>
      <c r="J1456" s="163">
        <f t="shared" si="114"/>
        <v>0</v>
      </c>
      <c r="K1456" s="155">
        <f t="shared" si="115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16"/>
        <v>0</v>
      </c>
      <c r="O1456" s="155">
        <f t="shared" si="117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19"/>
        <v>601800</v>
      </c>
      <c r="J1457" s="163">
        <f t="shared" si="114"/>
        <v>0</v>
      </c>
      <c r="K1457" s="155">
        <f t="shared" si="115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16"/>
        <v>0</v>
      </c>
      <c r="O1457" s="155">
        <f t="shared" si="117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19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19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19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19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19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19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19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19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19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19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19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19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19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19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19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19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19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19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19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19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2</v>
      </c>
      <c r="C1482" s="415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3</v>
      </c>
      <c r="C1483" s="415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4</v>
      </c>
      <c r="C1484" s="415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5</v>
      </c>
      <c r="C1485" s="415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19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19"/>
        <v>115253</v>
      </c>
    </row>
    <row r="1488" spans="2:9" ht="15" customHeight="1">
      <c r="B1488" s="187">
        <v>8</v>
      </c>
      <c r="C1488" s="415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19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19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19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19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19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19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19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19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19"/>
        <v>12000</v>
      </c>
    </row>
    <row r="1497" spans="2:9" ht="15" customHeight="1">
      <c r="I1497" s="88">
        <f t="shared" si="119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42" priority="4" operator="equal">
      <formula>0</formula>
    </cfRule>
  </conditionalFormatting>
  <conditionalFormatting sqref="B217 D217:G217">
    <cfRule type="cellIs" dxfId="41" priority="11" operator="equal">
      <formula>0</formula>
    </cfRule>
  </conditionalFormatting>
  <conditionalFormatting sqref="B8:C135">
    <cfRule type="cellIs" dxfId="40" priority="66" operator="equal">
      <formula>0</formula>
    </cfRule>
  </conditionalFormatting>
  <conditionalFormatting sqref="B216:G216">
    <cfRule type="cellIs" dxfId="39" priority="16" operator="equal">
      <formula>0</formula>
    </cfRule>
  </conditionalFormatting>
  <conditionalFormatting sqref="B218:G1496">
    <cfRule type="cellIs" dxfId="38" priority="1" operator="equal">
      <formula>0</formula>
    </cfRule>
  </conditionalFormatting>
  <conditionalFormatting sqref="C143:G149">
    <cfRule type="cellIs" dxfId="37" priority="20" operator="equal">
      <formula>0</formula>
    </cfRule>
  </conditionalFormatting>
  <conditionalFormatting sqref="D9:G142">
    <cfRule type="cellIs" dxfId="36" priority="26" operator="equal">
      <formula>0</formula>
    </cfRule>
  </conditionalFormatting>
  <conditionalFormatting sqref="D1:IV5 A1:C7 D6:K6 H1458:IV1460 H1461:XFD1488 H1489:H1496 I1489:XFD1497 A1497:H1497 A1498:XFD65539">
    <cfRule type="cellIs" dxfId="35" priority="178" operator="equal">
      <formula>0</formula>
    </cfRule>
  </conditionalFormatting>
  <conditionalFormatting sqref="D7:IV8 C136:C142 B136:B149 B150:G213 B214:B215 D214:G215">
    <cfRule type="cellIs" dxfId="34" priority="77" operator="equal">
      <formula>0</formula>
    </cfRule>
  </conditionalFormatting>
  <conditionalFormatting sqref="H9:H1421">
    <cfRule type="cellIs" dxfId="33" priority="3" operator="equal">
      <formula>0</formula>
    </cfRule>
  </conditionalFormatting>
  <conditionalFormatting sqref="H1422:I1457">
    <cfRule type="cellIs" dxfId="32" priority="143" operator="equal">
      <formula>0</formula>
    </cfRule>
  </conditionalFormatting>
  <conditionalFormatting sqref="I108:I1421">
    <cfRule type="cellIs" dxfId="31" priority="2" operator="equal">
      <formula>0</formula>
    </cfRule>
  </conditionalFormatting>
  <conditionalFormatting sqref="I9:IV107">
    <cfRule type="cellIs" dxfId="30" priority="153" operator="equal">
      <formula>0</formula>
    </cfRule>
  </conditionalFormatting>
  <conditionalFormatting sqref="J108:IV1457">
    <cfRule type="cellIs" dxfId="29" priority="5" operator="equal">
      <formula>0</formula>
    </cfRule>
  </conditionalFormatting>
  <conditionalFormatting sqref="M6:IV6">
    <cfRule type="cellIs" dxfId="28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13" zoomScale="55" zoomScaleNormal="55" zoomScaleSheetLayoutView="85" workbookViewId="0">
      <selection activeCell="N19" sqref="N19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67" t="s">
        <v>1453</v>
      </c>
      <c r="C2" s="567"/>
      <c r="D2" s="567"/>
      <c r="E2" s="567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72" t="s">
        <v>1528</v>
      </c>
      <c r="C4" s="573"/>
      <c r="D4" s="573"/>
      <c r="E4" s="574"/>
      <c r="F4" s="372"/>
      <c r="G4" s="372"/>
      <c r="H4" s="373"/>
      <c r="I4" s="599" t="s">
        <v>1529</v>
      </c>
      <c r="J4" s="600"/>
      <c r="K4" s="600"/>
      <c r="L4" s="601"/>
    </row>
    <row r="5" spans="1:12" ht="34.5" customHeight="1">
      <c r="A5" s="193"/>
      <c r="B5" s="375" t="s">
        <v>1378</v>
      </c>
      <c r="C5" s="224" t="s">
        <v>9</v>
      </c>
      <c r="D5" s="568" t="str">
        <f>DATA!D14</f>
        <v>PD NEW STAR CINEPLEX 11-66KVA</v>
      </c>
      <c r="E5" s="569"/>
      <c r="F5" s="197"/>
      <c r="G5" s="197"/>
      <c r="I5" s="376" t="s">
        <v>1378</v>
      </c>
      <c r="J5" s="224" t="s">
        <v>9</v>
      </c>
      <c r="K5" s="602" t="str">
        <f>D5</f>
        <v>PD NEW STAR CINEPLEX 11-66KVA</v>
      </c>
      <c r="L5" s="603"/>
    </row>
    <row r="6" spans="1:12" ht="31.5" customHeight="1">
      <c r="A6" s="193"/>
      <c r="B6" s="375" t="s">
        <v>1525</v>
      </c>
      <c r="C6" s="224" t="s">
        <v>9</v>
      </c>
      <c r="D6" s="577">
        <f>DATA!D17*1000</f>
        <v>11000</v>
      </c>
      <c r="E6" s="578"/>
      <c r="F6" s="197"/>
      <c r="G6" s="197"/>
      <c r="I6" s="376" t="s">
        <v>1526</v>
      </c>
      <c r="J6" s="224" t="s">
        <v>9</v>
      </c>
      <c r="K6" s="604">
        <f>DATA!D20*1000</f>
        <v>66000</v>
      </c>
      <c r="L6" s="605"/>
    </row>
    <row r="7" spans="1:12" ht="30.75" customHeight="1">
      <c r="A7" s="193"/>
      <c r="B7" s="375" t="s">
        <v>1440</v>
      </c>
      <c r="C7" s="224" t="s">
        <v>9</v>
      </c>
      <c r="D7" s="575">
        <f>DATA!D18</f>
        <v>1</v>
      </c>
      <c r="E7" s="576"/>
      <c r="F7" s="374" t="s">
        <v>1452</v>
      </c>
      <c r="I7" s="376" t="s">
        <v>1440</v>
      </c>
      <c r="J7" s="224" t="s">
        <v>9</v>
      </c>
      <c r="K7" s="606">
        <f>DATA!D21</f>
        <v>3</v>
      </c>
      <c r="L7" s="607"/>
    </row>
    <row r="8" spans="1:12" ht="51" customHeight="1">
      <c r="A8" s="193"/>
      <c r="B8" s="375" t="s">
        <v>1441</v>
      </c>
      <c r="C8" s="224" t="s">
        <v>9</v>
      </c>
      <c r="D8" s="575">
        <f>DATA!D19</f>
        <v>220</v>
      </c>
      <c r="E8" s="576"/>
      <c r="F8" s="374" t="s">
        <v>1452</v>
      </c>
      <c r="G8" s="369">
        <v>220</v>
      </c>
      <c r="I8" s="376" t="s">
        <v>1441</v>
      </c>
      <c r="J8" s="224" t="s">
        <v>9</v>
      </c>
      <c r="K8" s="606">
        <f>DATA!D22</f>
        <v>380</v>
      </c>
      <c r="L8" s="607"/>
    </row>
    <row r="9" spans="1:12" ht="30" customHeight="1" thickBot="1">
      <c r="A9" s="193"/>
      <c r="B9" s="381" t="s">
        <v>1537</v>
      </c>
      <c r="C9" s="371" t="s">
        <v>9</v>
      </c>
      <c r="D9" s="570">
        <f>IF(D7=1,D6/(380/3^0.5),(D6/(380*3^0.5)))</f>
        <v>50.138312850678027</v>
      </c>
      <c r="E9" s="571"/>
      <c r="F9" s="196"/>
      <c r="G9" s="370">
        <v>380</v>
      </c>
      <c r="I9" s="382" t="s">
        <v>1537</v>
      </c>
      <c r="J9" s="371" t="s">
        <v>9</v>
      </c>
      <c r="K9" s="608">
        <f>IF(K7=1,K6/(380/3^0.5),(K6/(380*3^0.5)))</f>
        <v>100.27662570135607</v>
      </c>
      <c r="L9" s="609"/>
    </row>
    <row r="10" spans="1:12" ht="24.75" customHeight="1">
      <c r="B10" s="383"/>
      <c r="C10" s="380"/>
      <c r="D10" s="384"/>
      <c r="E10" s="384"/>
      <c r="F10" s="196"/>
      <c r="G10" s="370"/>
      <c r="I10" s="383"/>
      <c r="J10" s="380"/>
      <c r="K10" s="384"/>
      <c r="L10" s="384"/>
    </row>
    <row r="11" spans="1:12" ht="16.5" thickBot="1">
      <c r="B11" s="377" t="s">
        <v>1538</v>
      </c>
      <c r="I11" s="377" t="s">
        <v>1532</v>
      </c>
    </row>
    <row r="12" spans="1:12" ht="34.5" customHeight="1">
      <c r="A12" s="193"/>
      <c r="B12" s="405" t="s">
        <v>1530</v>
      </c>
      <c r="C12" s="399" t="s">
        <v>9</v>
      </c>
      <c r="D12" s="579"/>
      <c r="E12" s="580"/>
      <c r="F12" s="197"/>
      <c r="G12" s="197"/>
      <c r="I12" s="398" t="s">
        <v>1530</v>
      </c>
      <c r="J12" s="399" t="s">
        <v>9</v>
      </c>
      <c r="K12" s="579" t="s">
        <v>1648</v>
      </c>
      <c r="L12" s="580"/>
    </row>
    <row r="13" spans="1:12" ht="31.5" customHeight="1">
      <c r="A13" s="193"/>
      <c r="B13" s="406" t="s">
        <v>1379</v>
      </c>
      <c r="C13" s="386" t="s">
        <v>9</v>
      </c>
      <c r="D13" s="583"/>
      <c r="E13" s="584"/>
      <c r="F13" s="197"/>
      <c r="G13" s="197"/>
      <c r="I13" s="400" t="s">
        <v>1379</v>
      </c>
      <c r="J13" s="386" t="s">
        <v>9</v>
      </c>
      <c r="K13" s="583" t="s">
        <v>1649</v>
      </c>
      <c r="L13" s="584"/>
    </row>
    <row r="14" spans="1:12" ht="30.75" customHeight="1">
      <c r="A14" s="193"/>
      <c r="B14" s="406" t="s">
        <v>1531</v>
      </c>
      <c r="C14" s="386" t="s">
        <v>9</v>
      </c>
      <c r="D14" s="591"/>
      <c r="E14" s="592"/>
      <c r="F14" s="374" t="s">
        <v>1452</v>
      </c>
      <c r="G14" s="378">
        <v>50</v>
      </c>
      <c r="I14" s="400" t="s">
        <v>1531</v>
      </c>
      <c r="J14" s="386" t="s">
        <v>9</v>
      </c>
      <c r="K14" s="593">
        <v>100</v>
      </c>
      <c r="L14" s="594"/>
    </row>
    <row r="15" spans="1:12" ht="57" customHeight="1">
      <c r="A15" s="193"/>
      <c r="B15" s="406" t="s">
        <v>1440</v>
      </c>
      <c r="C15" s="386" t="s">
        <v>9</v>
      </c>
      <c r="D15" s="392"/>
      <c r="E15" s="401"/>
      <c r="F15" s="374" t="s">
        <v>1452</v>
      </c>
      <c r="G15" s="378">
        <v>100</v>
      </c>
      <c r="I15" s="400" t="s">
        <v>1440</v>
      </c>
      <c r="J15" s="386" t="s">
        <v>9</v>
      </c>
      <c r="K15" s="392">
        <v>3</v>
      </c>
      <c r="L15" s="401"/>
    </row>
    <row r="16" spans="1:12" ht="44.25" customHeight="1">
      <c r="A16" s="193"/>
      <c r="B16" s="406" t="s">
        <v>1541</v>
      </c>
      <c r="C16" s="386"/>
      <c r="D16" s="595">
        <v>0</v>
      </c>
      <c r="E16" s="596"/>
      <c r="F16" s="374"/>
      <c r="G16" s="378">
        <v>160</v>
      </c>
      <c r="I16" s="400" t="s">
        <v>1533</v>
      </c>
      <c r="J16" s="386" t="s">
        <v>9</v>
      </c>
      <c r="K16" s="597">
        <f>K9</f>
        <v>100.27662570135607</v>
      </c>
      <c r="L16" s="598"/>
    </row>
    <row r="17" spans="1:12" ht="34.5" customHeight="1">
      <c r="A17" s="193"/>
      <c r="B17" s="406" t="s">
        <v>1534</v>
      </c>
      <c r="C17" s="386" t="s">
        <v>9</v>
      </c>
      <c r="D17" s="585">
        <f>IF(D15=1,D14/(20/3^0.5),(D14/(20*3^0.5)))</f>
        <v>0</v>
      </c>
      <c r="E17" s="586"/>
      <c r="F17" s="374" t="s">
        <v>1452</v>
      </c>
      <c r="G17" s="379">
        <v>200</v>
      </c>
      <c r="I17" s="400" t="s">
        <v>1534</v>
      </c>
      <c r="J17" s="386" t="s">
        <v>9</v>
      </c>
      <c r="K17" s="589">
        <f>IF(K15=1,K14/(20/3^0.5),(K14/(20*3^0.5)))</f>
        <v>2.8867513459481291</v>
      </c>
      <c r="L17" s="590"/>
    </row>
    <row r="18" spans="1:12" ht="34.5" customHeight="1">
      <c r="A18" s="193"/>
      <c r="B18" s="406" t="s">
        <v>1535</v>
      </c>
      <c r="C18" s="386" t="s">
        <v>9</v>
      </c>
      <c r="D18" s="585">
        <f>IF(D15=1,D14/(380/3^0.5),(D14/(380*3^0.5)))*1000</f>
        <v>0</v>
      </c>
      <c r="E18" s="586"/>
      <c r="F18" s="374" t="s">
        <v>1452</v>
      </c>
      <c r="G18" s="379">
        <v>250</v>
      </c>
      <c r="I18" s="400" t="s">
        <v>1535</v>
      </c>
      <c r="J18" s="386" t="s">
        <v>9</v>
      </c>
      <c r="K18" s="589">
        <f>IF(K15=1,K14/(380/3^0.5),(K14/(380*3^0.5)))*1000</f>
        <v>151.93428136569102</v>
      </c>
      <c r="L18" s="590"/>
    </row>
    <row r="19" spans="1:12" ht="30" customHeight="1">
      <c r="A19" s="193"/>
      <c r="B19" s="407" t="s">
        <v>1527</v>
      </c>
      <c r="C19" s="385" t="s">
        <v>9</v>
      </c>
      <c r="D19" s="585">
        <f>IF(D15=1,D14/(380/3^0.5),(D14/(380*3^0.5)))</f>
        <v>0</v>
      </c>
      <c r="E19" s="586"/>
      <c r="F19" s="196"/>
      <c r="G19" s="370"/>
      <c r="I19" s="402" t="s">
        <v>1527</v>
      </c>
      <c r="J19" s="385" t="s">
        <v>9</v>
      </c>
      <c r="K19" s="589">
        <f>IF(K15=1,K14/(380/3^0.5),(K14/(380*3^0.5)))</f>
        <v>0.15193428136569101</v>
      </c>
      <c r="L19" s="590"/>
    </row>
    <row r="20" spans="1:12" ht="30" customHeight="1" thickBot="1">
      <c r="A20" s="193"/>
      <c r="B20" s="408" t="s">
        <v>1536</v>
      </c>
      <c r="C20" s="404" t="s">
        <v>9</v>
      </c>
      <c r="D20" s="581" t="e">
        <f>D16/D18</f>
        <v>#DIV/0!</v>
      </c>
      <c r="E20" s="582"/>
      <c r="F20" s="196"/>
      <c r="G20" s="370"/>
      <c r="I20" s="403" t="s">
        <v>1527</v>
      </c>
      <c r="J20" s="404" t="s">
        <v>9</v>
      </c>
      <c r="K20" s="587">
        <f>K16/K18</f>
        <v>0.65999999999999992</v>
      </c>
      <c r="L20" s="588"/>
    </row>
    <row r="21" spans="1:12" ht="9.75" customHeight="1">
      <c r="A21" s="193"/>
      <c r="B21" s="393" t="s">
        <v>1536</v>
      </c>
      <c r="C21" s="394" t="s">
        <v>9</v>
      </c>
      <c r="D21" s="566">
        <v>1</v>
      </c>
      <c r="E21" s="566"/>
      <c r="F21" s="395"/>
      <c r="G21" s="396"/>
      <c r="H21" s="397"/>
      <c r="I21" s="393" t="s">
        <v>1527</v>
      </c>
      <c r="J21" s="394" t="s">
        <v>9</v>
      </c>
      <c r="K21" s="566">
        <v>1</v>
      </c>
      <c r="L21" s="566"/>
    </row>
    <row r="22" spans="1:12" ht="6.75" customHeight="1">
      <c r="B22" s="383"/>
      <c r="C22" s="380"/>
      <c r="D22" s="391"/>
      <c r="E22" s="391"/>
      <c r="F22" s="196"/>
      <c r="G22" s="370"/>
      <c r="J22" s="380"/>
      <c r="K22" s="391"/>
      <c r="L22" s="391"/>
    </row>
    <row r="23" spans="1:12" ht="15.75" thickBot="1"/>
    <row r="24" spans="1:12" ht="200.25" customHeight="1" thickBot="1">
      <c r="B24" s="563"/>
      <c r="C24" s="564"/>
      <c r="D24" s="564"/>
      <c r="E24" s="565"/>
      <c r="I24" s="563"/>
      <c r="J24" s="564"/>
      <c r="K24" s="564"/>
      <c r="L24" s="565"/>
    </row>
    <row r="26" spans="1:12">
      <c r="D26" s="388"/>
    </row>
    <row r="27" spans="1:12">
      <c r="D27" s="38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7" priority="5" stopIfTrue="1" operator="greaterThan">
      <formula>0.89</formula>
    </cfRule>
    <cfRule type="cellIs" dxfId="2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zoomScale="85" zoomScaleNormal="85" workbookViewId="0">
      <selection activeCell="D26" sqref="D26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10"/>
      <c r="C1" s="610"/>
      <c r="D1" s="610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6">
        <v>1084.1250458865841</v>
      </c>
      <c r="F5" s="412" t="s">
        <v>1600</v>
      </c>
      <c r="K5" s="411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2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55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53295000</v>
      </c>
    </row>
    <row r="10" spans="2:11" ht="20.100000000000001" customHeight="1">
      <c r="B10" s="238" t="s">
        <v>1445</v>
      </c>
      <c r="C10" s="239" t="s">
        <v>9</v>
      </c>
      <c r="D10" s="245">
        <f ca="1">RAB!K141</f>
        <v>120393328.61309999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2407866.5722619998</v>
      </c>
    </row>
    <row r="12" spans="2:11" ht="9" customHeight="1">
      <c r="B12" s="611"/>
      <c r="C12" s="611"/>
      <c r="D12" s="611"/>
    </row>
    <row r="13" spans="2:11" ht="15.75" customHeight="1">
      <c r="B13" s="246"/>
      <c r="C13" s="246"/>
      <c r="D13" s="246"/>
    </row>
    <row r="14" spans="2:11" ht="48.75" customHeight="1">
      <c r="B14" s="359" t="s">
        <v>1378</v>
      </c>
      <c r="C14" s="360" t="s">
        <v>9</v>
      </c>
      <c r="D14" s="365" t="str">
        <f>RAB!G6</f>
        <v>PD NEW STAR CINEPLEX 11-66KVA</v>
      </c>
      <c r="E14" s="247" t="s">
        <v>1452</v>
      </c>
    </row>
    <row r="15" spans="2:11" ht="20.100000000000001" customHeight="1">
      <c r="B15" s="361" t="s">
        <v>1446</v>
      </c>
      <c r="C15" s="362" t="s">
        <v>9</v>
      </c>
      <c r="D15" s="366" t="s">
        <v>1625</v>
      </c>
      <c r="E15" s="247" t="s">
        <v>1452</v>
      </c>
    </row>
    <row r="16" spans="2:11" ht="20.100000000000001" customHeight="1">
      <c r="B16" s="361" t="s">
        <v>1447</v>
      </c>
      <c r="C16" s="362" t="s">
        <v>9</v>
      </c>
      <c r="D16" s="366" t="s">
        <v>1450</v>
      </c>
      <c r="E16" s="247" t="s">
        <v>1452</v>
      </c>
    </row>
    <row r="17" spans="2:5" ht="20.100000000000001" customHeight="1">
      <c r="B17" s="361" t="s">
        <v>1448</v>
      </c>
      <c r="C17" s="362" t="s">
        <v>9</v>
      </c>
      <c r="D17" s="367">
        <v>11</v>
      </c>
      <c r="E17" s="247" t="s">
        <v>1452</v>
      </c>
    </row>
    <row r="18" spans="2:5" ht="20.100000000000001" hidden="1" customHeight="1">
      <c r="B18" s="361" t="s">
        <v>1539</v>
      </c>
      <c r="C18" s="362"/>
      <c r="D18" s="367">
        <f>IF((D17&lt;=11),1,3)</f>
        <v>1</v>
      </c>
      <c r="E18" s="247"/>
    </row>
    <row r="19" spans="2:5" ht="20.100000000000001" hidden="1" customHeight="1">
      <c r="B19" s="361" t="s">
        <v>1540</v>
      </c>
      <c r="C19" s="362"/>
      <c r="D19" s="367">
        <f>IF((D17&lt;=11),220,380)</f>
        <v>220</v>
      </c>
      <c r="E19" s="247"/>
    </row>
    <row r="20" spans="2:5" ht="20.100000000000001" customHeight="1">
      <c r="B20" s="361" t="s">
        <v>1449</v>
      </c>
      <c r="C20" s="362" t="s">
        <v>9</v>
      </c>
      <c r="D20" s="366">
        <v>66</v>
      </c>
      <c r="E20" s="247" t="s">
        <v>1452</v>
      </c>
    </row>
    <row r="21" spans="2:5" ht="20.100000000000001" hidden="1" customHeight="1">
      <c r="B21" s="361" t="s">
        <v>1539</v>
      </c>
      <c r="C21" s="362"/>
      <c r="D21" s="367">
        <f>IF((D20&lt;=11),1,3)</f>
        <v>3</v>
      </c>
      <c r="E21" s="247"/>
    </row>
    <row r="22" spans="2:5" ht="20.100000000000001" hidden="1" customHeight="1">
      <c r="B22" s="361" t="s">
        <v>1540</v>
      </c>
      <c r="C22" s="362"/>
      <c r="D22" s="367">
        <f>IF((D20&lt;=11),220,380)</f>
        <v>380</v>
      </c>
      <c r="E22" s="247"/>
    </row>
    <row r="23" spans="2:5" ht="20.100000000000001" customHeight="1">
      <c r="B23" s="361" t="s">
        <v>1352</v>
      </c>
      <c r="C23" s="362" t="s">
        <v>9</v>
      </c>
      <c r="D23" s="366">
        <v>1444.7</v>
      </c>
      <c r="E23" s="247" t="s">
        <v>1452</v>
      </c>
    </row>
    <row r="24" spans="2:5" ht="20.100000000000001" customHeight="1">
      <c r="B24" s="361" t="s">
        <v>1353</v>
      </c>
      <c r="C24" s="362" t="s">
        <v>9</v>
      </c>
      <c r="D24" s="366">
        <v>1444.7</v>
      </c>
      <c r="E24" s="247" t="s">
        <v>1452</v>
      </c>
    </row>
    <row r="25" spans="2:5" ht="20.100000000000001" customHeight="1">
      <c r="B25" s="361" t="s">
        <v>1451</v>
      </c>
      <c r="C25" s="362" t="s">
        <v>9</v>
      </c>
      <c r="D25" s="367">
        <v>969</v>
      </c>
      <c r="E25" s="247" t="s">
        <v>1452</v>
      </c>
    </row>
    <row r="26" spans="2:5" ht="20.100000000000001" customHeight="1">
      <c r="B26" s="363" t="s">
        <v>1354</v>
      </c>
      <c r="C26" s="364" t="s">
        <v>9</v>
      </c>
      <c r="D26" s="368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W26" sqref="W26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2" t="s">
        <v>1356</v>
      </c>
      <c r="C3" s="612"/>
      <c r="D3" s="612"/>
      <c r="E3" s="612"/>
      <c r="F3" s="252" t="str">
        <f>DATA!D14</f>
        <v>PD NEW STAR CINEPLEX 11-66KVA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3" t="s">
        <v>1348</v>
      </c>
      <c r="C5" s="613" t="s">
        <v>1357</v>
      </c>
      <c r="D5" s="614" t="s">
        <v>1358</v>
      </c>
      <c r="E5" s="614" t="s">
        <v>1359</v>
      </c>
      <c r="F5" s="613" t="s">
        <v>1360</v>
      </c>
      <c r="G5" s="613"/>
      <c r="H5" s="613"/>
      <c r="I5" s="613"/>
      <c r="J5" s="613"/>
      <c r="K5" s="613" t="s">
        <v>1361</v>
      </c>
      <c r="L5" s="613"/>
      <c r="M5" s="254"/>
      <c r="N5" s="617" t="s">
        <v>1362</v>
      </c>
      <c r="O5" s="614" t="s">
        <v>1363</v>
      </c>
      <c r="P5" s="614" t="s">
        <v>1364</v>
      </c>
      <c r="Q5" s="614" t="s">
        <v>1365</v>
      </c>
      <c r="R5" s="255"/>
      <c r="S5" s="256"/>
      <c r="T5" s="615" t="s">
        <v>1366</v>
      </c>
      <c r="U5" s="257"/>
    </row>
    <row r="6" spans="1:21" ht="20.100000000000001" customHeight="1">
      <c r="B6" s="613"/>
      <c r="C6" s="613"/>
      <c r="D6" s="613"/>
      <c r="E6" s="613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8"/>
      <c r="O6" s="613"/>
      <c r="P6" s="613"/>
      <c r="Q6" s="613"/>
      <c r="R6" s="255"/>
      <c r="S6" s="256"/>
      <c r="T6" s="613"/>
      <c r="U6" s="259"/>
    </row>
    <row r="7" spans="1:21" ht="20.100000000000001" customHeight="1">
      <c r="A7" s="260">
        <v>0</v>
      </c>
      <c r="B7" s="261">
        <v>2023</v>
      </c>
      <c r="C7" s="409">
        <f>DATA!D8*DATA!D26*4</f>
        <v>8800</v>
      </c>
      <c r="D7" s="263">
        <f>C7*4/24</f>
        <v>1466.6666666666667</v>
      </c>
      <c r="E7" s="263">
        <f>C7-D7</f>
        <v>7333.333333333333</v>
      </c>
      <c r="F7" s="264">
        <f ca="1">DATA!D10/1000000</f>
        <v>120.3933286131</v>
      </c>
      <c r="G7" s="265">
        <f ca="1">DATA!$D$11/1000000</f>
        <v>2.4078665722619998</v>
      </c>
      <c r="H7" s="265">
        <f>C7*DATA!$D$5/1000000</f>
        <v>9.5403004038019397</v>
      </c>
      <c r="I7" s="265">
        <f>(C7*DATA!$D$5*DATA!$D$7)/1000000</f>
        <v>0.21465675908554366</v>
      </c>
      <c r="J7" s="263">
        <f ca="1">SUM(F7:I7)</f>
        <v>132.5561523482495</v>
      </c>
      <c r="K7" s="266">
        <f>DATA!D9/1000000</f>
        <v>53.295000000000002</v>
      </c>
      <c r="L7" s="263">
        <f>((D7*DATA!$D$23)/1000000)+((E7*DATA!$D$24)/1000000)</f>
        <v>12.713359999999998</v>
      </c>
      <c r="M7" s="263">
        <f>K7+L7</f>
        <v>66.008359999999996</v>
      </c>
      <c r="N7" s="263">
        <f ca="1">M7-J7</f>
        <v>-66.547792348249502</v>
      </c>
      <c r="O7" s="261">
        <v>1</v>
      </c>
      <c r="P7" s="263">
        <f ca="1">O7*N7</f>
        <v>-66.547792348249502</v>
      </c>
      <c r="Q7" s="263">
        <f ca="1">P7</f>
        <v>-66.547792348249502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26400</v>
      </c>
      <c r="D8" s="263">
        <f>C8*4/24</f>
        <v>4400</v>
      </c>
      <c r="E8" s="263">
        <f t="shared" ref="E8:E32" si="0">C8-D8</f>
        <v>22000</v>
      </c>
      <c r="F8" s="261"/>
      <c r="G8" s="265">
        <f ca="1">DATA!$D$11/1000000</f>
        <v>2.4078665722619998</v>
      </c>
      <c r="H8" s="265">
        <f>C8*DATA!$D$5/1000000</f>
        <v>28.620901211405823</v>
      </c>
      <c r="I8" s="265">
        <f>(C8*DATA!$D$5*DATA!$D$7)/1000000</f>
        <v>0.64397027725663092</v>
      </c>
      <c r="J8" s="263">
        <f t="shared" ref="J8:J32" ca="1" si="1">SUM(F8:I8)</f>
        <v>31.672738060924456</v>
      </c>
      <c r="K8" s="268"/>
      <c r="L8" s="263">
        <f>((D8*DATA!$D$23)/1000000)+((E8*DATA!$D$24)/1000000)</f>
        <v>38.140079999999998</v>
      </c>
      <c r="M8" s="263">
        <f t="shared" ref="M8:M32" si="2">K8+L8</f>
        <v>38.140079999999998</v>
      </c>
      <c r="N8" s="263">
        <f ca="1">M8-J8</f>
        <v>6.467341939075542</v>
      </c>
      <c r="O8" s="262">
        <f>1/(1+'[93]Asumsi I'!$C$3)^(KKF!A8)</f>
        <v>0.89285714285714279</v>
      </c>
      <c r="P8" s="263">
        <f ca="1">O8*N8</f>
        <v>5.7744124456031622</v>
      </c>
      <c r="Q8" s="263">
        <f ca="1">Q7+P8</f>
        <v>-60.77337990264634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26400</v>
      </c>
      <c r="D9" s="263">
        <f t="shared" ref="D9:D32" si="5">C9*4/24</f>
        <v>4400</v>
      </c>
      <c r="E9" s="263">
        <f t="shared" si="0"/>
        <v>22000</v>
      </c>
      <c r="F9" s="261"/>
      <c r="G9" s="265">
        <f ca="1">DATA!$D$11/1000000</f>
        <v>2.4078665722619998</v>
      </c>
      <c r="H9" s="265">
        <f>C9*DATA!$D$5/1000000</f>
        <v>28.620901211405823</v>
      </c>
      <c r="I9" s="265">
        <f>(C9*DATA!$D$5*DATA!$D$7)/1000000</f>
        <v>0.64397027725663092</v>
      </c>
      <c r="J9" s="263">
        <f t="shared" ca="1" si="1"/>
        <v>31.672738060924456</v>
      </c>
      <c r="K9" s="263"/>
      <c r="L9" s="263">
        <f>((D9*DATA!$D$23)/1000000)+((E9*DATA!$D$24)/1000000)</f>
        <v>38.140079999999998</v>
      </c>
      <c r="M9" s="263">
        <f t="shared" si="2"/>
        <v>38.140079999999998</v>
      </c>
      <c r="N9" s="263">
        <f t="shared" ref="N9:N32" ca="1" si="6">M9-J9</f>
        <v>6.467341939075542</v>
      </c>
      <c r="O9" s="269">
        <f>1/(1+'[93]Asumsi I'!$C$3)^(KKF!A9)</f>
        <v>0.79719387755102034</v>
      </c>
      <c r="P9" s="263">
        <f t="shared" ref="P9:P32" ca="1" si="7">O9*N9</f>
        <v>5.1557253978599658</v>
      </c>
      <c r="Q9" s="263">
        <f ca="1">Q8+P9</f>
        <v>-55.617654504786373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26400</v>
      </c>
      <c r="D10" s="263">
        <f t="shared" si="5"/>
        <v>4400</v>
      </c>
      <c r="E10" s="263">
        <f t="shared" si="0"/>
        <v>22000</v>
      </c>
      <c r="F10" s="261"/>
      <c r="G10" s="265">
        <f ca="1">DATA!$D$11/1000000</f>
        <v>2.4078665722619998</v>
      </c>
      <c r="H10" s="265">
        <f>C10*DATA!$D$5/1000000</f>
        <v>28.620901211405823</v>
      </c>
      <c r="I10" s="265">
        <f>(C10*DATA!$D$5*DATA!$D$7)/1000000</f>
        <v>0.64397027725663092</v>
      </c>
      <c r="J10" s="263">
        <f t="shared" ca="1" si="1"/>
        <v>31.672738060924456</v>
      </c>
      <c r="K10" s="261"/>
      <c r="L10" s="263">
        <f>((D10*DATA!$D$23)/1000000)+((E10*DATA!$D$24)/1000000)</f>
        <v>38.140079999999998</v>
      </c>
      <c r="M10" s="263">
        <f t="shared" si="2"/>
        <v>38.140079999999998</v>
      </c>
      <c r="N10" s="263">
        <f t="shared" ca="1" si="6"/>
        <v>6.467341939075542</v>
      </c>
      <c r="O10" s="262">
        <f>1/(1+'[93]Asumsi I'!$C$3)^(KKF!A10)</f>
        <v>0.71178024781341087</v>
      </c>
      <c r="P10" s="263">
        <f t="shared" ca="1" si="7"/>
        <v>4.6033262480892541</v>
      </c>
      <c r="Q10" s="263">
        <f t="shared" ref="Q10:Q30" ca="1" si="9">Q9+P10</f>
        <v>-51.014328256697119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26400</v>
      </c>
      <c r="D11" s="263">
        <f t="shared" si="5"/>
        <v>4400</v>
      </c>
      <c r="E11" s="263">
        <f t="shared" si="0"/>
        <v>22000</v>
      </c>
      <c r="F11" s="261"/>
      <c r="G11" s="265">
        <f ca="1">DATA!$D$11/1000000</f>
        <v>2.4078665722619998</v>
      </c>
      <c r="H11" s="265">
        <f>C11*DATA!$D$5/1000000</f>
        <v>28.620901211405823</v>
      </c>
      <c r="I11" s="265">
        <f>(C11*DATA!$D$5*DATA!$D$7)/1000000</f>
        <v>0.64397027725663092</v>
      </c>
      <c r="J11" s="263">
        <f t="shared" ca="1" si="1"/>
        <v>31.672738060924456</v>
      </c>
      <c r="K11" s="261"/>
      <c r="L11" s="263">
        <f>((D11*DATA!$D$23)/1000000)+((E11*DATA!$D$24)/1000000)</f>
        <v>38.140079999999998</v>
      </c>
      <c r="M11" s="263">
        <f t="shared" si="2"/>
        <v>38.140079999999998</v>
      </c>
      <c r="N11" s="263">
        <f t="shared" ca="1" si="6"/>
        <v>6.467341939075542</v>
      </c>
      <c r="O11" s="262">
        <f>1/(1+'[93]Asumsi I'!$C$3)^(KKF!A11)</f>
        <v>0.63551807840483121</v>
      </c>
      <c r="P11" s="263">
        <f t="shared" ca="1" si="7"/>
        <v>4.1101127215082638</v>
      </c>
      <c r="Q11" s="263">
        <f t="shared" ca="1" si="9"/>
        <v>-46.904215535188854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26400</v>
      </c>
      <c r="D12" s="263">
        <f t="shared" si="5"/>
        <v>4400</v>
      </c>
      <c r="E12" s="263">
        <f t="shared" si="0"/>
        <v>22000</v>
      </c>
      <c r="F12" s="261"/>
      <c r="G12" s="265">
        <f ca="1">DATA!$D$11/1000000</f>
        <v>2.4078665722619998</v>
      </c>
      <c r="H12" s="265">
        <f>C12*DATA!$D$5/1000000</f>
        <v>28.620901211405823</v>
      </c>
      <c r="I12" s="265">
        <f>(C12*DATA!$D$5*DATA!$D$7)/1000000</f>
        <v>0.64397027725663092</v>
      </c>
      <c r="J12" s="263">
        <f t="shared" ca="1" si="1"/>
        <v>31.672738060924456</v>
      </c>
      <c r="K12" s="261"/>
      <c r="L12" s="263">
        <f>((D12*DATA!$D$23)/1000000)+((E12*DATA!$D$24)/1000000)</f>
        <v>38.140079999999998</v>
      </c>
      <c r="M12" s="263">
        <f t="shared" si="2"/>
        <v>38.140079999999998</v>
      </c>
      <c r="N12" s="263">
        <f t="shared" ca="1" si="6"/>
        <v>6.467341939075542</v>
      </c>
      <c r="O12" s="262">
        <f>1/(1+'[93]Asumsi I'!$C$3)^(KKF!A12)</f>
        <v>0.56742685571859919</v>
      </c>
      <c r="P12" s="263">
        <f t="shared" ca="1" si="7"/>
        <v>3.6697435013466633</v>
      </c>
      <c r="Q12" s="263">
        <f t="shared" ca="1" si="9"/>
        <v>-43.234472033842188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26400</v>
      </c>
      <c r="D13" s="263">
        <f t="shared" si="5"/>
        <v>4400</v>
      </c>
      <c r="E13" s="263">
        <f t="shared" si="0"/>
        <v>22000</v>
      </c>
      <c r="F13" s="261"/>
      <c r="G13" s="265">
        <f ca="1">DATA!$D$11/1000000</f>
        <v>2.4078665722619998</v>
      </c>
      <c r="H13" s="265">
        <f>C13*DATA!$D$5/1000000</f>
        <v>28.620901211405823</v>
      </c>
      <c r="I13" s="265">
        <f>(C13*DATA!$D$5*DATA!$D$7)/1000000</f>
        <v>0.64397027725663092</v>
      </c>
      <c r="J13" s="263">
        <f t="shared" ca="1" si="1"/>
        <v>31.672738060924456</v>
      </c>
      <c r="K13" s="261"/>
      <c r="L13" s="263">
        <f>((D13*DATA!$D$23)/1000000)+((E13*DATA!$D$24)/1000000)</f>
        <v>38.140079999999998</v>
      </c>
      <c r="M13" s="263">
        <f t="shared" si="2"/>
        <v>38.140079999999998</v>
      </c>
      <c r="N13" s="263">
        <f t="shared" ca="1" si="6"/>
        <v>6.467341939075542</v>
      </c>
      <c r="O13" s="262">
        <f>1/(1+'[93]Asumsi I'!$C$3)^(KKF!A13)</f>
        <v>0.50663112117732068</v>
      </c>
      <c r="P13" s="263">
        <f t="shared" ca="1" si="7"/>
        <v>3.2765566976309488</v>
      </c>
      <c r="Q13" s="263">
        <f t="shared" ca="1" si="9"/>
        <v>-39.957915336211236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26400</v>
      </c>
      <c r="D14" s="263">
        <f t="shared" si="5"/>
        <v>4400</v>
      </c>
      <c r="E14" s="263">
        <f t="shared" si="0"/>
        <v>22000</v>
      </c>
      <c r="F14" s="261"/>
      <c r="G14" s="265">
        <f ca="1">DATA!$D$11/1000000</f>
        <v>2.4078665722619998</v>
      </c>
      <c r="H14" s="265">
        <f>C14*DATA!$D$5/1000000</f>
        <v>28.620901211405823</v>
      </c>
      <c r="I14" s="265">
        <f>(C14*DATA!$D$5*DATA!$D$7)/1000000</f>
        <v>0.64397027725663092</v>
      </c>
      <c r="J14" s="263">
        <f t="shared" ca="1" si="1"/>
        <v>31.672738060924456</v>
      </c>
      <c r="K14" s="261"/>
      <c r="L14" s="263">
        <f>((D14*DATA!$D$23)/1000000)+((E14*DATA!$D$24)/1000000)</f>
        <v>38.140079999999998</v>
      </c>
      <c r="M14" s="263">
        <f t="shared" si="2"/>
        <v>38.140079999999998</v>
      </c>
      <c r="N14" s="263">
        <f t="shared" ca="1" si="6"/>
        <v>6.467341939075542</v>
      </c>
      <c r="O14" s="262">
        <f>1/(1+'[93]Asumsi I'!$C$3)^(KKF!A14)</f>
        <v>0.45234921533689343</v>
      </c>
      <c r="P14" s="263">
        <f t="shared" ca="1" si="7"/>
        <v>2.9254970514562042</v>
      </c>
      <c r="Q14" s="263">
        <f t="shared" ca="1" si="9"/>
        <v>-37.032418284755032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26400</v>
      </c>
      <c r="D15" s="263">
        <f t="shared" si="5"/>
        <v>4400</v>
      </c>
      <c r="E15" s="263">
        <f t="shared" si="0"/>
        <v>22000</v>
      </c>
      <c r="F15" s="261"/>
      <c r="G15" s="265">
        <f ca="1">DATA!$D$11/1000000</f>
        <v>2.4078665722619998</v>
      </c>
      <c r="H15" s="265">
        <f>C15*DATA!$D$5/1000000</f>
        <v>28.620901211405823</v>
      </c>
      <c r="I15" s="265">
        <f>(C15*DATA!$D$5*DATA!$D$7)/1000000</f>
        <v>0.64397027725663092</v>
      </c>
      <c r="J15" s="263">
        <f t="shared" ca="1" si="1"/>
        <v>31.672738060924456</v>
      </c>
      <c r="K15" s="261"/>
      <c r="L15" s="263">
        <f>((D15*DATA!$D$23)/1000000)+((E15*DATA!$D$24)/1000000)</f>
        <v>38.140079999999998</v>
      </c>
      <c r="M15" s="263">
        <f t="shared" si="2"/>
        <v>38.140079999999998</v>
      </c>
      <c r="N15" s="263">
        <f t="shared" ca="1" si="6"/>
        <v>6.467341939075542</v>
      </c>
      <c r="O15" s="262">
        <f>1/(1+'[93]Asumsi I'!$C$3)^(KKF!A15)</f>
        <v>0.4038832279793691</v>
      </c>
      <c r="P15" s="263">
        <f t="shared" ca="1" si="7"/>
        <v>2.612050938800182</v>
      </c>
      <c r="Q15" s="263">
        <f t="shared" ca="1" si="9"/>
        <v>-34.420367345954851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26400</v>
      </c>
      <c r="D16" s="263">
        <f t="shared" si="5"/>
        <v>4400</v>
      </c>
      <c r="E16" s="263">
        <f t="shared" si="0"/>
        <v>22000</v>
      </c>
      <c r="F16" s="261"/>
      <c r="G16" s="265">
        <f ca="1">DATA!$D$11/1000000</f>
        <v>2.4078665722619998</v>
      </c>
      <c r="H16" s="265">
        <f>C16*DATA!$D$5/1000000</f>
        <v>28.620901211405823</v>
      </c>
      <c r="I16" s="265">
        <f>(C16*DATA!$D$5*DATA!$D$7)/1000000</f>
        <v>0.64397027725663092</v>
      </c>
      <c r="J16" s="263">
        <f t="shared" ca="1" si="1"/>
        <v>31.672738060924456</v>
      </c>
      <c r="K16" s="261"/>
      <c r="L16" s="263">
        <f>((D16*DATA!$D$23)/1000000)+((E16*DATA!$D$24)/1000000)</f>
        <v>38.140079999999998</v>
      </c>
      <c r="M16" s="263">
        <f t="shared" si="2"/>
        <v>38.140079999999998</v>
      </c>
      <c r="N16" s="263">
        <f t="shared" ca="1" si="6"/>
        <v>6.467341939075542</v>
      </c>
      <c r="O16" s="262">
        <f>1/(1+'[93]Asumsi I'!$C$3)^(KKF!A16)</f>
        <v>0.36061002498157957</v>
      </c>
      <c r="P16" s="263">
        <f t="shared" ca="1" si="7"/>
        <v>2.3321883382144484</v>
      </c>
      <c r="Q16" s="263">
        <f t="shared" ca="1" si="9"/>
        <v>-32.088179007740401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26400</v>
      </c>
      <c r="D17" s="263">
        <f t="shared" si="5"/>
        <v>4400</v>
      </c>
      <c r="E17" s="263">
        <f t="shared" si="0"/>
        <v>22000</v>
      </c>
      <c r="F17" s="261"/>
      <c r="G17" s="265">
        <f ca="1">DATA!$D$11/1000000</f>
        <v>2.4078665722619998</v>
      </c>
      <c r="H17" s="265">
        <f>C17*DATA!$D$5/1000000</f>
        <v>28.620901211405823</v>
      </c>
      <c r="I17" s="265">
        <f>(C17*DATA!$D$5*DATA!$D$7)/1000000</f>
        <v>0.64397027725663092</v>
      </c>
      <c r="J17" s="263">
        <f t="shared" ca="1" si="1"/>
        <v>31.672738060924456</v>
      </c>
      <c r="K17" s="261"/>
      <c r="L17" s="263">
        <f>((D17*DATA!$D$23)/1000000)+((E17*DATA!$D$24)/1000000)</f>
        <v>38.140079999999998</v>
      </c>
      <c r="M17" s="263">
        <f t="shared" si="2"/>
        <v>38.140079999999998</v>
      </c>
      <c r="N17" s="263">
        <f t="shared" ca="1" si="6"/>
        <v>6.467341939075542</v>
      </c>
      <c r="O17" s="262">
        <f>1/(1+'[93]Asumsi I'!$C$3)^(KKF!A17)</f>
        <v>0.32197323659069599</v>
      </c>
      <c r="P17" s="263">
        <f t="shared" ca="1" si="7"/>
        <v>2.0823110162629002</v>
      </c>
      <c r="Q17" s="263">
        <f t="shared" ca="1" si="9"/>
        <v>-30.005867991477501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26400</v>
      </c>
      <c r="D18" s="263">
        <f t="shared" si="5"/>
        <v>4400</v>
      </c>
      <c r="E18" s="263">
        <f t="shared" si="0"/>
        <v>22000</v>
      </c>
      <c r="F18" s="261"/>
      <c r="G18" s="265">
        <f ca="1">DATA!$D$11/1000000</f>
        <v>2.4078665722619998</v>
      </c>
      <c r="H18" s="265">
        <f>C18*DATA!$D$5/1000000</f>
        <v>28.620901211405823</v>
      </c>
      <c r="I18" s="265">
        <f>(C18*DATA!$D$5*DATA!$D$7)/1000000</f>
        <v>0.64397027725663092</v>
      </c>
      <c r="J18" s="263">
        <f t="shared" ca="1" si="1"/>
        <v>31.672738060924456</v>
      </c>
      <c r="K18" s="261"/>
      <c r="L18" s="263">
        <f>((D18*DATA!$D$23)/1000000)+((E18*DATA!$D$24)/1000000)</f>
        <v>38.140079999999998</v>
      </c>
      <c r="M18" s="263">
        <f t="shared" si="2"/>
        <v>38.140079999999998</v>
      </c>
      <c r="N18" s="263">
        <f t="shared" ca="1" si="6"/>
        <v>6.467341939075542</v>
      </c>
      <c r="O18" s="262">
        <f>1/(1+'[93]Asumsi I'!$C$3)^(KKF!A18)</f>
        <v>0.28747610409883567</v>
      </c>
      <c r="P18" s="263">
        <f t="shared" ca="1" si="7"/>
        <v>1.8592062645204464</v>
      </c>
      <c r="Q18" s="263">
        <f t="shared" ca="1" si="9"/>
        <v>-28.146661726957056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26400</v>
      </c>
      <c r="D19" s="263">
        <f t="shared" si="5"/>
        <v>4400</v>
      </c>
      <c r="E19" s="263">
        <f t="shared" si="0"/>
        <v>22000</v>
      </c>
      <c r="F19" s="261"/>
      <c r="G19" s="265">
        <f ca="1">DATA!$D$11/1000000</f>
        <v>2.4078665722619998</v>
      </c>
      <c r="H19" s="265">
        <f>C19*DATA!$D$5/1000000</f>
        <v>28.620901211405823</v>
      </c>
      <c r="I19" s="265">
        <f>(C19*DATA!$D$5*DATA!$D$7)/1000000</f>
        <v>0.64397027725663092</v>
      </c>
      <c r="J19" s="263">
        <f t="shared" ca="1" si="1"/>
        <v>31.672738060924456</v>
      </c>
      <c r="K19" s="261"/>
      <c r="L19" s="263">
        <f>((D19*DATA!$D$23)/1000000)+((E19*DATA!$D$24)/1000000)</f>
        <v>38.140079999999998</v>
      </c>
      <c r="M19" s="263">
        <f t="shared" si="2"/>
        <v>38.140079999999998</v>
      </c>
      <c r="N19" s="263">
        <f t="shared" ca="1" si="6"/>
        <v>6.467341939075542</v>
      </c>
      <c r="O19" s="262">
        <f>1/(1+'[93]Asumsi I'!$C$3)^(KKF!A19)</f>
        <v>0.25667509294538904</v>
      </c>
      <c r="P19" s="263">
        <f t="shared" ca="1" si="7"/>
        <v>1.6600055933218274</v>
      </c>
      <c r="Q19" s="263">
        <f t="shared" ca="1" si="9"/>
        <v>-26.486656133635229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26400</v>
      </c>
      <c r="D20" s="263">
        <f t="shared" si="5"/>
        <v>4400</v>
      </c>
      <c r="E20" s="263">
        <f t="shared" si="0"/>
        <v>22000</v>
      </c>
      <c r="F20" s="261"/>
      <c r="G20" s="265">
        <f ca="1">DATA!$D$11/1000000</f>
        <v>2.4078665722619998</v>
      </c>
      <c r="H20" s="265">
        <f>C20*DATA!$D$5/1000000</f>
        <v>28.620901211405823</v>
      </c>
      <c r="I20" s="265">
        <f>(C20*DATA!$D$5*DATA!$D$7)/1000000</f>
        <v>0.64397027725663092</v>
      </c>
      <c r="J20" s="263">
        <f t="shared" ca="1" si="1"/>
        <v>31.672738060924456</v>
      </c>
      <c r="K20" s="261"/>
      <c r="L20" s="263">
        <f>((D20*DATA!$D$23)/1000000)+((E20*DATA!$D$24)/1000000)</f>
        <v>38.140079999999998</v>
      </c>
      <c r="M20" s="263">
        <f t="shared" si="2"/>
        <v>38.140079999999998</v>
      </c>
      <c r="N20" s="263">
        <f t="shared" ca="1" si="6"/>
        <v>6.467341939075542</v>
      </c>
      <c r="O20" s="262">
        <f>1/(1+'[93]Asumsi I'!$C$3)^(KKF!A20)</f>
        <v>0.22917419012981158</v>
      </c>
      <c r="P20" s="263">
        <f t="shared" ca="1" si="7"/>
        <v>1.4821478511802026</v>
      </c>
      <c r="Q20" s="263">
        <f t="shared" ca="1" si="9"/>
        <v>-25.004508282455028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26400</v>
      </c>
      <c r="D21" s="263">
        <f t="shared" si="5"/>
        <v>4400</v>
      </c>
      <c r="E21" s="263">
        <f t="shared" si="0"/>
        <v>22000</v>
      </c>
      <c r="F21" s="261"/>
      <c r="G21" s="265">
        <f ca="1">DATA!$D$11/1000000</f>
        <v>2.4078665722619998</v>
      </c>
      <c r="H21" s="265">
        <f>C21*DATA!$D$5/1000000</f>
        <v>28.620901211405823</v>
      </c>
      <c r="I21" s="265">
        <f>(C21*DATA!$D$5*DATA!$D$7)/1000000</f>
        <v>0.64397027725663092</v>
      </c>
      <c r="J21" s="263">
        <f t="shared" ca="1" si="1"/>
        <v>31.672738060924456</v>
      </c>
      <c r="K21" s="261"/>
      <c r="L21" s="263">
        <f>((D21*DATA!$D$23)/1000000)+((E21*DATA!$D$24)/1000000)</f>
        <v>38.140079999999998</v>
      </c>
      <c r="M21" s="263">
        <f t="shared" si="2"/>
        <v>38.140079999999998</v>
      </c>
      <c r="N21" s="263">
        <f t="shared" ca="1" si="6"/>
        <v>6.467341939075542</v>
      </c>
      <c r="O21" s="262">
        <f>1/(1+'[93]Asumsi I'!$C$3)^(KKF!A21)</f>
        <v>0.20461981261590317</v>
      </c>
      <c r="P21" s="263">
        <f t="shared" ca="1" si="7"/>
        <v>1.3233462956966093</v>
      </c>
      <c r="Q21" s="263">
        <f t="shared" ca="1" si="9"/>
        <v>-23.681161986758418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26400</v>
      </c>
      <c r="D22" s="263">
        <f t="shared" si="5"/>
        <v>4400</v>
      </c>
      <c r="E22" s="263">
        <f t="shared" si="0"/>
        <v>22000</v>
      </c>
      <c r="F22" s="261"/>
      <c r="G22" s="265">
        <f ca="1">DATA!$D$11/1000000</f>
        <v>2.4078665722619998</v>
      </c>
      <c r="H22" s="265">
        <f>C22*DATA!$D$5/1000000</f>
        <v>28.620901211405823</v>
      </c>
      <c r="I22" s="265">
        <f>(C22*DATA!$D$5*DATA!$D$7)/1000000</f>
        <v>0.64397027725663092</v>
      </c>
      <c r="J22" s="263">
        <f t="shared" ca="1" si="1"/>
        <v>31.672738060924456</v>
      </c>
      <c r="K22" s="261"/>
      <c r="L22" s="263">
        <f>((D22*DATA!$D$23)/1000000)+((E22*DATA!$D$24)/1000000)</f>
        <v>38.140079999999998</v>
      </c>
      <c r="M22" s="263">
        <f t="shared" si="2"/>
        <v>38.140079999999998</v>
      </c>
      <c r="N22" s="263">
        <f t="shared" ca="1" si="6"/>
        <v>6.467341939075542</v>
      </c>
      <c r="O22" s="262">
        <f>1/(1+'[93]Asumsi I'!$C$3)^(KKF!A22)</f>
        <v>0.18269626126419927</v>
      </c>
      <c r="P22" s="263">
        <f t="shared" ca="1" si="7"/>
        <v>1.1815591925862583</v>
      </c>
      <c r="Q22" s="263">
        <f t="shared" ca="1" si="9"/>
        <v>-22.499602794172159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26400</v>
      </c>
      <c r="D23" s="263">
        <f t="shared" si="5"/>
        <v>4400</v>
      </c>
      <c r="E23" s="263">
        <f t="shared" si="0"/>
        <v>22000</v>
      </c>
      <c r="F23" s="261"/>
      <c r="G23" s="265">
        <f ca="1">DATA!$D$11/1000000</f>
        <v>2.4078665722619998</v>
      </c>
      <c r="H23" s="265">
        <f>C23*DATA!$D$5/1000000</f>
        <v>28.620901211405823</v>
      </c>
      <c r="I23" s="265">
        <f>(C23*DATA!$D$5*DATA!$D$7)/1000000</f>
        <v>0.64397027725663092</v>
      </c>
      <c r="J23" s="263">
        <f t="shared" ca="1" si="1"/>
        <v>31.672738060924456</v>
      </c>
      <c r="K23" s="261"/>
      <c r="L23" s="263">
        <f>((D23*DATA!$D$23)/1000000)+((E23*DATA!$D$24)/1000000)</f>
        <v>38.140079999999998</v>
      </c>
      <c r="M23" s="263">
        <f t="shared" si="2"/>
        <v>38.140079999999998</v>
      </c>
      <c r="N23" s="263">
        <f t="shared" ca="1" si="6"/>
        <v>6.467341939075542</v>
      </c>
      <c r="O23" s="262">
        <f>1/(1+'[93]Asumsi I'!$C$3)^(KKF!A23)</f>
        <v>0.16312166184303503</v>
      </c>
      <c r="P23" s="263">
        <f t="shared" ca="1" si="7"/>
        <v>1.0549635648091591</v>
      </c>
      <c r="Q23" s="263">
        <f t="shared" ca="1" si="9"/>
        <v>-21.444639229362998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26400</v>
      </c>
      <c r="D24" s="263">
        <f t="shared" si="5"/>
        <v>4400</v>
      </c>
      <c r="E24" s="263">
        <f t="shared" si="0"/>
        <v>22000</v>
      </c>
      <c r="F24" s="261"/>
      <c r="G24" s="265">
        <f ca="1">DATA!$D$11/1000000</f>
        <v>2.4078665722619998</v>
      </c>
      <c r="H24" s="265">
        <f>C24*DATA!$D$5/1000000</f>
        <v>28.620901211405823</v>
      </c>
      <c r="I24" s="265">
        <f>(C24*DATA!$D$5*DATA!$D$7)/1000000</f>
        <v>0.64397027725663092</v>
      </c>
      <c r="J24" s="263">
        <f t="shared" ca="1" si="1"/>
        <v>31.672738060924456</v>
      </c>
      <c r="K24" s="261"/>
      <c r="L24" s="263">
        <f>((D24*DATA!$D$23)/1000000)+((E24*DATA!$D$24)/1000000)</f>
        <v>38.140079999999998</v>
      </c>
      <c r="M24" s="263">
        <f t="shared" si="2"/>
        <v>38.140079999999998</v>
      </c>
      <c r="N24" s="263">
        <f t="shared" ca="1" si="6"/>
        <v>6.467341939075542</v>
      </c>
      <c r="O24" s="262">
        <f>1/(1+'[93]Asumsi I'!$C$3)^(KKF!A24)</f>
        <v>0.14564434093128129</v>
      </c>
      <c r="P24" s="263">
        <f t="shared" ca="1" si="7"/>
        <v>0.94193175429389209</v>
      </c>
      <c r="Q24" s="263">
        <f t="shared" ca="1" si="9"/>
        <v>-20.502707475069105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26400</v>
      </c>
      <c r="D25" s="263">
        <f t="shared" si="5"/>
        <v>4400</v>
      </c>
      <c r="E25" s="263">
        <f t="shared" si="0"/>
        <v>22000</v>
      </c>
      <c r="F25" s="261"/>
      <c r="G25" s="265">
        <f ca="1">DATA!$D$11/1000000</f>
        <v>2.4078665722619998</v>
      </c>
      <c r="H25" s="265">
        <f>C25*DATA!$D$5/1000000</f>
        <v>28.620901211405823</v>
      </c>
      <c r="I25" s="265">
        <f>(C25*DATA!$D$5*DATA!$D$7)/1000000</f>
        <v>0.64397027725663092</v>
      </c>
      <c r="J25" s="263">
        <f t="shared" ca="1" si="1"/>
        <v>31.672738060924456</v>
      </c>
      <c r="K25" s="261"/>
      <c r="L25" s="263">
        <f>((D25*DATA!$D$23)/1000000)+((E25*DATA!$D$24)/1000000)</f>
        <v>38.140079999999998</v>
      </c>
      <c r="M25" s="263">
        <f t="shared" si="2"/>
        <v>38.140079999999998</v>
      </c>
      <c r="N25" s="263">
        <f t="shared" ca="1" si="6"/>
        <v>6.467341939075542</v>
      </c>
      <c r="O25" s="262">
        <f>1/(1+'[93]Asumsi I'!$C$3)^(KKF!A25)</f>
        <v>0.13003959011721541</v>
      </c>
      <c r="P25" s="263">
        <f t="shared" ca="1" si="7"/>
        <v>0.84101049490526059</v>
      </c>
      <c r="Q25" s="263">
        <f t="shared" ca="1" si="9"/>
        <v>-19.661696980163846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26400</v>
      </c>
      <c r="D26" s="263">
        <f t="shared" si="5"/>
        <v>4400</v>
      </c>
      <c r="E26" s="263">
        <f t="shared" si="0"/>
        <v>22000</v>
      </c>
      <c r="F26" s="261"/>
      <c r="G26" s="265">
        <f ca="1">DATA!$D$11/1000000</f>
        <v>2.4078665722619998</v>
      </c>
      <c r="H26" s="265">
        <f>C26*DATA!$D$5/1000000</f>
        <v>28.620901211405823</v>
      </c>
      <c r="I26" s="265">
        <f>(C26*DATA!$D$5*DATA!$D$7)/1000000</f>
        <v>0.64397027725663092</v>
      </c>
      <c r="J26" s="263">
        <f t="shared" ca="1" si="1"/>
        <v>31.672738060924456</v>
      </c>
      <c r="K26" s="261"/>
      <c r="L26" s="263">
        <f>((D26*DATA!$D$23)/1000000)+((E26*DATA!$D$24)/1000000)</f>
        <v>38.140079999999998</v>
      </c>
      <c r="M26" s="263">
        <f t="shared" si="2"/>
        <v>38.140079999999998</v>
      </c>
      <c r="N26" s="263">
        <f t="shared" ca="1" si="6"/>
        <v>6.467341939075542</v>
      </c>
      <c r="O26" s="262">
        <f>1/(1+'[93]Asumsi I'!$C$3)^(KKF!A26)</f>
        <v>0.1161067768903709</v>
      </c>
      <c r="P26" s="263">
        <f t="shared" ca="1" si="7"/>
        <v>0.75090222759398262</v>
      </c>
      <c r="Q26" s="263">
        <f t="shared" ca="1" si="9"/>
        <v>-18.910794752569863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26400</v>
      </c>
      <c r="D27" s="263">
        <f t="shared" si="5"/>
        <v>4400</v>
      </c>
      <c r="E27" s="263">
        <f t="shared" si="0"/>
        <v>22000</v>
      </c>
      <c r="F27" s="261"/>
      <c r="G27" s="265">
        <f ca="1">DATA!$D$11/1000000</f>
        <v>2.4078665722619998</v>
      </c>
      <c r="H27" s="265">
        <f>C27*DATA!$D$5/1000000</f>
        <v>28.620901211405823</v>
      </c>
      <c r="I27" s="265">
        <f>(C27*DATA!$D$5*DATA!$D$7)/1000000</f>
        <v>0.64397027725663092</v>
      </c>
      <c r="J27" s="263">
        <f t="shared" ca="1" si="1"/>
        <v>31.672738060924456</v>
      </c>
      <c r="K27" s="261"/>
      <c r="L27" s="263">
        <f>((D27*DATA!$D$23)/1000000)+((E27*DATA!$D$24)/1000000)</f>
        <v>38.140079999999998</v>
      </c>
      <c r="M27" s="263">
        <f t="shared" si="2"/>
        <v>38.140079999999998</v>
      </c>
      <c r="N27" s="263">
        <f t="shared" ca="1" si="6"/>
        <v>6.467341939075542</v>
      </c>
      <c r="O27" s="262">
        <f>1/(1+'[93]Asumsi I'!$C$3)^(KKF!A27)</f>
        <v>0.1036667650806883</v>
      </c>
      <c r="P27" s="263">
        <f t="shared" ca="1" si="7"/>
        <v>0.67044841749462736</v>
      </c>
      <c r="Q27" s="263">
        <f t="shared" ca="1" si="9"/>
        <v>-18.240346335075238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26400</v>
      </c>
      <c r="D28" s="263">
        <f t="shared" si="5"/>
        <v>4400</v>
      </c>
      <c r="E28" s="263">
        <f t="shared" si="0"/>
        <v>22000</v>
      </c>
      <c r="F28" s="261"/>
      <c r="G28" s="265">
        <f ca="1">DATA!$D$11/1000000</f>
        <v>2.4078665722619998</v>
      </c>
      <c r="H28" s="265">
        <f>C28*DATA!$D$5/1000000</f>
        <v>28.620901211405823</v>
      </c>
      <c r="I28" s="265">
        <f>(C28*DATA!$D$5*DATA!$D$7)/1000000</f>
        <v>0.64397027725663092</v>
      </c>
      <c r="J28" s="263">
        <f t="shared" ca="1" si="1"/>
        <v>31.672738060924456</v>
      </c>
      <c r="K28" s="261"/>
      <c r="L28" s="263">
        <f>((D28*DATA!$D$23)/1000000)+((E28*DATA!$D$24)/1000000)</f>
        <v>38.140079999999998</v>
      </c>
      <c r="M28" s="263">
        <f t="shared" si="2"/>
        <v>38.140079999999998</v>
      </c>
      <c r="N28" s="263">
        <f t="shared" ca="1" si="6"/>
        <v>6.467341939075542</v>
      </c>
      <c r="O28" s="262">
        <f>1/(1+'[93]Asumsi I'!$C$3)^(KKF!A28)</f>
        <v>9.2559611679185971E-2</v>
      </c>
      <c r="P28" s="263">
        <f t="shared" ca="1" si="7"/>
        <v>0.59861465847734574</v>
      </c>
      <c r="Q28" s="263">
        <f t="shared" ca="1" si="9"/>
        <v>-17.641731676597892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26400</v>
      </c>
      <c r="D29" s="263">
        <f t="shared" si="5"/>
        <v>4400</v>
      </c>
      <c r="E29" s="263">
        <f t="shared" si="0"/>
        <v>22000</v>
      </c>
      <c r="F29" s="261"/>
      <c r="G29" s="265">
        <f ca="1">DATA!$D$11/1000000</f>
        <v>2.4078665722619998</v>
      </c>
      <c r="H29" s="265">
        <f>C29*DATA!$D$5/1000000</f>
        <v>28.620901211405823</v>
      </c>
      <c r="I29" s="265">
        <f>(C29*DATA!$D$5*DATA!$D$7)/1000000</f>
        <v>0.64397027725663092</v>
      </c>
      <c r="J29" s="263">
        <f t="shared" ca="1" si="1"/>
        <v>31.672738060924456</v>
      </c>
      <c r="K29" s="261"/>
      <c r="L29" s="263">
        <f>((D29*DATA!$D$23)/1000000)+((E29*DATA!$D$24)/1000000)</f>
        <v>38.140079999999998</v>
      </c>
      <c r="M29" s="263">
        <f t="shared" si="2"/>
        <v>38.140079999999998</v>
      </c>
      <c r="N29" s="263">
        <f t="shared" ca="1" si="6"/>
        <v>6.467341939075542</v>
      </c>
      <c r="O29" s="262">
        <f>1/(1+'[93]Asumsi I'!$C$3)^(KKF!A29)</f>
        <v>8.2642510427844609E-2</v>
      </c>
      <c r="P29" s="263">
        <f t="shared" ca="1" si="7"/>
        <v>0.53447737364048731</v>
      </c>
      <c r="Q29" s="263">
        <f t="shared" ca="1" si="9"/>
        <v>-17.107254302957404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26400</v>
      </c>
      <c r="D30" s="263">
        <f t="shared" si="5"/>
        <v>4400</v>
      </c>
      <c r="E30" s="263">
        <f t="shared" si="0"/>
        <v>22000</v>
      </c>
      <c r="F30" s="261"/>
      <c r="G30" s="265">
        <f ca="1">DATA!$D$11/1000000</f>
        <v>2.4078665722619998</v>
      </c>
      <c r="H30" s="265">
        <f>C30*DATA!$D$5/1000000</f>
        <v>28.620901211405823</v>
      </c>
      <c r="I30" s="265">
        <f>(C30*DATA!$D$5*DATA!$D$7)/1000000</f>
        <v>0.64397027725663092</v>
      </c>
      <c r="J30" s="263">
        <f t="shared" ca="1" si="1"/>
        <v>31.672738060924456</v>
      </c>
      <c r="K30" s="261"/>
      <c r="L30" s="263">
        <f>((D30*DATA!$D$23)/1000000)+((E30*DATA!$D$24)/1000000)</f>
        <v>38.140079999999998</v>
      </c>
      <c r="M30" s="263">
        <f t="shared" si="2"/>
        <v>38.140079999999998</v>
      </c>
      <c r="N30" s="263">
        <f t="shared" ca="1" si="6"/>
        <v>6.467341939075542</v>
      </c>
      <c r="O30" s="262">
        <f>1/(1+'[93]Asumsi I'!$C$3)^(KKF!A30)</f>
        <v>7.3787955739146982E-2</v>
      </c>
      <c r="P30" s="263">
        <f t="shared" ca="1" si="7"/>
        <v>0.4772119407504351</v>
      </c>
      <c r="Q30" s="263">
        <f t="shared" ca="1" si="9"/>
        <v>-16.630042362206968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26400</v>
      </c>
      <c r="D31" s="263">
        <f t="shared" si="5"/>
        <v>4400</v>
      </c>
      <c r="E31" s="263">
        <f t="shared" si="0"/>
        <v>22000</v>
      </c>
      <c r="F31" s="261"/>
      <c r="G31" s="265">
        <f ca="1">DATA!$D$11/1000000</f>
        <v>2.4078665722619998</v>
      </c>
      <c r="H31" s="265">
        <f>C31*DATA!$D$5/1000000</f>
        <v>28.620901211405823</v>
      </c>
      <c r="I31" s="265">
        <f>(C31*DATA!$D$5*DATA!$D$7)/1000000</f>
        <v>0.64397027725663092</v>
      </c>
      <c r="J31" s="263">
        <f t="shared" ca="1" si="1"/>
        <v>31.672738060924456</v>
      </c>
      <c r="K31" s="261"/>
      <c r="L31" s="263">
        <f>((D31*DATA!$D$23)/1000000)+((E31*DATA!$D$24)/1000000)</f>
        <v>38.140079999999998</v>
      </c>
      <c r="M31" s="263">
        <f t="shared" si="2"/>
        <v>38.140079999999998</v>
      </c>
      <c r="N31" s="263">
        <f t="shared" ca="1" si="6"/>
        <v>6.467341939075542</v>
      </c>
      <c r="O31" s="262">
        <f>1/(1+'[93]Asumsi I'!$C$3)^(KKF!A31)</f>
        <v>6.5882103338524081E-2</v>
      </c>
      <c r="P31" s="263">
        <f t="shared" ca="1" si="7"/>
        <v>0.42608208995574559</v>
      </c>
      <c r="Q31" s="263">
        <f ca="1">Q30+P31</f>
        <v>-16.203960272251223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26400</v>
      </c>
      <c r="D32" s="263">
        <f t="shared" si="5"/>
        <v>4400</v>
      </c>
      <c r="E32" s="263">
        <f t="shared" si="0"/>
        <v>22000</v>
      </c>
      <c r="F32" s="261"/>
      <c r="G32" s="265">
        <f ca="1">DATA!$D$11/1000000</f>
        <v>2.4078665722619998</v>
      </c>
      <c r="H32" s="265">
        <f>C32*DATA!$D$5/1000000</f>
        <v>28.620901211405823</v>
      </c>
      <c r="I32" s="265">
        <f>(C32*DATA!$D$5*DATA!$D$7)/1000000</f>
        <v>0.64397027725663092</v>
      </c>
      <c r="J32" s="263">
        <f t="shared" ca="1" si="1"/>
        <v>31.672738060924456</v>
      </c>
      <c r="K32" s="261"/>
      <c r="L32" s="263">
        <f>((D32*DATA!$D$23)/1000000)+((E32*DATA!$D$24)/1000000)</f>
        <v>38.140079999999998</v>
      </c>
      <c r="M32" s="263">
        <f t="shared" si="2"/>
        <v>38.140079999999998</v>
      </c>
      <c r="N32" s="263">
        <f t="shared" ca="1" si="6"/>
        <v>6.467341939075542</v>
      </c>
      <c r="O32" s="262">
        <f>1/(1+'[93]Asumsi I'!$C$3)^(KKF!A32)</f>
        <v>5.8823306552253637E-2</v>
      </c>
      <c r="P32" s="263">
        <f t="shared" ca="1" si="7"/>
        <v>0.38043043746048705</v>
      </c>
      <c r="Q32" s="263">
        <f ca="1">Q31+P32</f>
        <v>-15.823529834790735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6" t="s">
        <v>1373</v>
      </c>
      <c r="G33" s="616"/>
      <c r="H33" s="616"/>
      <c r="I33" s="271"/>
      <c r="J33" s="272">
        <f ca="1">SUM(J7:J32)</f>
        <v>924.37460387136048</v>
      </c>
      <c r="K33" s="616" t="s">
        <v>1374</v>
      </c>
      <c r="L33" s="616"/>
      <c r="M33" s="272">
        <f>SUM(M7:M32)</f>
        <v>1019.5103600000002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20.496233784601376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1.1029190500584969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-14.128151638206017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8.4349465898792886E-2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5" priority="1" stopIfTrue="1" operator="greaterThanOrEqual">
      <formula>$F$7</formula>
    </cfRule>
    <cfRule type="cellIs" dxfId="24" priority="2" stopIfTrue="1" operator="lessThan">
      <formula>$F$7</formula>
    </cfRule>
  </conditionalFormatting>
  <conditionalFormatting sqref="Q7:Q32">
    <cfRule type="cellIs" dxfId="23" priority="3" operator="lessThan">
      <formula>0</formula>
    </cfRule>
    <cfRule type="cellIs" dxfId="22" priority="4" operator="lessThan">
      <formula>0</formula>
    </cfRule>
    <cfRule type="cellIs" dxfId="21" priority="5" operator="lessThan">
      <formula>-6395.81</formula>
    </cfRule>
    <cfRule type="cellIs" dxfId="2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56"/>
  <sheetViews>
    <sheetView showGridLines="0" zoomScale="70" zoomScaleNormal="70" zoomScaleSheetLayoutView="70" workbookViewId="0">
      <pane ySplit="13" topLeftCell="A91" activePane="bottomLeft" state="frozen"/>
      <selection activeCell="H1093" sqref="H1093"/>
      <selection pane="bottomLeft" activeCell="H133" sqref="H133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3" customWidth="1"/>
    <col min="4" max="4" width="13.7109375" style="353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19" t="s">
        <v>1036</v>
      </c>
      <c r="P3" s="619"/>
      <c r="Q3" s="293"/>
      <c r="T3" s="291"/>
      <c r="U3" s="292" t="s">
        <v>1041</v>
      </c>
      <c r="V3" s="291"/>
    </row>
    <row r="4" spans="1:22" ht="15.75" customHeight="1">
      <c r="B4" s="620" t="s">
        <v>1023</v>
      </c>
      <c r="C4" s="620"/>
      <c r="D4" s="620"/>
      <c r="E4" s="620"/>
      <c r="F4" s="620"/>
      <c r="G4" s="620"/>
      <c r="H4" s="620"/>
      <c r="I4" s="620"/>
      <c r="J4" s="620"/>
      <c r="K4" s="620"/>
      <c r="O4" s="619"/>
      <c r="P4" s="619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36" t="s">
        <v>1646</v>
      </c>
      <c r="H6" s="637"/>
      <c r="I6" s="637"/>
      <c r="J6" s="637"/>
      <c r="K6" s="637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1647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22" t="s">
        <v>0</v>
      </c>
      <c r="C11" s="624" t="s">
        <v>1</v>
      </c>
      <c r="D11" s="627" t="s">
        <v>42</v>
      </c>
      <c r="E11" s="627" t="s">
        <v>43</v>
      </c>
      <c r="F11" s="627" t="s">
        <v>2</v>
      </c>
      <c r="G11" s="629" t="s">
        <v>41</v>
      </c>
      <c r="H11" s="627" t="s">
        <v>3</v>
      </c>
      <c r="I11" s="627"/>
      <c r="J11" s="627"/>
      <c r="K11" s="647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23"/>
      <c r="C12" s="625"/>
      <c r="D12" s="628"/>
      <c r="E12" s="628"/>
      <c r="F12" s="628"/>
      <c r="G12" s="630"/>
      <c r="H12" s="632" t="s">
        <v>46</v>
      </c>
      <c r="I12" s="632" t="s">
        <v>5</v>
      </c>
      <c r="J12" s="628" t="s">
        <v>47</v>
      </c>
      <c r="K12" s="648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23"/>
      <c r="C13" s="626"/>
      <c r="D13" s="628"/>
      <c r="E13" s="628"/>
      <c r="F13" s="628"/>
      <c r="G13" s="631"/>
      <c r="H13" s="633"/>
      <c r="I13" s="633"/>
      <c r="J13" s="628"/>
      <c r="K13" s="648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ca="1">IF(OR(D14="MDU",D14="MDU-KD"),(IF($O$3="RAB NON MDU","PLN KD",G14*F14)),0)</f>
        <v>0</v>
      </c>
      <c r="I14" s="308">
        <f ca="1">IF(D14="HDW",G14*F14,0)</f>
        <v>0</v>
      </c>
      <c r="J14" s="308">
        <f ca="1">IF(D14="JASA",G14*F14,0)</f>
        <v>0</v>
      </c>
      <c r="K14" s="309">
        <f ca="1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ref="H15:H25" ca="1" si="0">IF(OR(D15="MDU",D15="MDU-KD"),(IF($O$3="RAB NON MDU","PLN KD",G15*F15)),0)</f>
        <v>0</v>
      </c>
      <c r="I15" s="308">
        <f t="shared" ref="I15:I25" ca="1" si="1">IF(D15="HDW",G15*F15,0)</f>
        <v>0</v>
      </c>
      <c r="J15" s="308">
        <f t="shared" ref="J15:J25" ca="1" si="2">IF(D15="JASA",G15*F15,0)</f>
        <v>0</v>
      </c>
      <c r="K15" s="309">
        <f t="shared" ref="K15:K25" ca="1" si="3">SUM(H15:J15)</f>
        <v>0</v>
      </c>
      <c r="L15" s="289"/>
      <c r="M15" s="289" t="str">
        <f ca="1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0"/>
      <c r="C16" s="417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19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0">
        <v>1</v>
      </c>
      <c r="C17" s="109" t="s">
        <v>104</v>
      </c>
      <c r="D17" s="305" t="str">
        <f ca="1">IF(ISERROR(OFFSET('HARGA SATUAN'!$D$6,MATCH(RAB!C17,'HARGA SATUAN'!$C$7:$C$1495,0),0)),"",OFFSET('HARGA SATUAN'!$D$6,MATCH(RAB!C17,'HARGA SATUAN'!$C$7:$C$1495,0),0))</f>
        <v>HDW</v>
      </c>
      <c r="E17" s="306" t="str">
        <f ca="1">IF(B17="+","Unit",IF(ISERROR(OFFSET('HARGA SATUAN'!$E$6,MATCH(RAB!C17,'HARGA SATUAN'!$C$7:$C$1495,0),0)),"",OFFSET('HARGA SATUAN'!$E$6,MATCH(RAB!C17,'HARGA SATUAN'!$C$7:$C$1495,0),0)))</f>
        <v>Btg</v>
      </c>
      <c r="F17" s="419">
        <v>1</v>
      </c>
      <c r="G17" s="307">
        <f ca="1">IF(ISERROR(OFFSET('HARGA SATUAN'!$I$6,MATCH(RAB!C17,'HARGA SATUAN'!$C$7:$C$1495,0),0)),0,OFFSET('HARGA SATUAN'!$I$6,MATCH(RAB!C17,'HARGA SATUAN'!$C$7:$C$1495,0),0))</f>
        <v>6074400</v>
      </c>
      <c r="H17" s="308">
        <f ca="1">IF(OR(D17="MDU",D17="MDU-KD"),(IF($O$3="RAB NON MDU","PLN KD",G17*F17)),0)</f>
        <v>0</v>
      </c>
      <c r="I17" s="308">
        <f ca="1">IF(D17="HDW",G17*F17,0)</f>
        <v>6074400</v>
      </c>
      <c r="J17" s="308">
        <f ca="1">IF(D17="JASA",G17*F17,0)</f>
        <v>0</v>
      </c>
      <c r="K17" s="309">
        <f ca="1">SUM(H17:J17)</f>
        <v>6074400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0">
        <v>2</v>
      </c>
      <c r="C18" s="109" t="s">
        <v>6</v>
      </c>
      <c r="D18" s="305" t="str">
        <f ca="1">IF(ISERROR(OFFSET('HARGA SATUAN'!$D$6,MATCH(RAB!C18,'HARGA SATUAN'!$C$7:$C$1495,0),0)),"",OFFSET('HARGA SATUAN'!$D$6,MATCH(RAB!C18,'HARGA SATUAN'!$C$7:$C$1495,0),0))</f>
        <v>JASA</v>
      </c>
      <c r="E18" s="306" t="str">
        <f ca="1">IF(B18="+","Unit",IF(ISERROR(OFFSET('HARGA SATUAN'!$E$6,MATCH(RAB!C18,'HARGA SATUAN'!$C$7:$C$1495,0),0)),"",OFFSET('HARGA SATUAN'!$E$6,MATCH(RAB!C18,'HARGA SATUAN'!$C$7:$C$1495,0),0)))</f>
        <v>Btg</v>
      </c>
      <c r="F18" s="419">
        <v>1</v>
      </c>
      <c r="G18" s="307">
        <f ca="1">IF(ISERROR(OFFSET('HARGA SATUAN'!$I$6,MATCH(RAB!C18,'HARGA SATUAN'!$C$7:$C$1495,0),0)),0,OFFSET('HARGA SATUAN'!$I$6,MATCH(RAB!C18,'HARGA SATUAN'!$C$7:$C$1495,0),0))</f>
        <v>10066.666666666668</v>
      </c>
      <c r="H18" s="308">
        <f t="shared" ca="1" si="0"/>
        <v>0</v>
      </c>
      <c r="I18" s="308">
        <f t="shared" ca="1" si="1"/>
        <v>0</v>
      </c>
      <c r="J18" s="308">
        <f t="shared" ca="1" si="2"/>
        <v>10066.666666666668</v>
      </c>
      <c r="K18" s="309">
        <f t="shared" ca="1" si="3"/>
        <v>10066.666666666668</v>
      </c>
      <c r="L18" s="289"/>
      <c r="M18" s="289" t="str">
        <f>IF(AND(F18&gt;0,F16=0),"",IF(AND(ISBLANK(F18)=FALSE,K18=0),"WARNING",""))</f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8" t="s">
        <v>1601</v>
      </c>
      <c r="C19" s="421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19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str">
        <f ca="1">IF(AND(F19&gt;0,F18=0),"",IF(AND(ISBLANK(F19)=FALSE,K19=0),"WARNING",""))</f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722" t="s">
        <v>1035</v>
      </c>
      <c r="C20" s="723" t="s">
        <v>1643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51">
        <v>1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289"/>
      <c r="M20" s="289"/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722">
        <v>1</v>
      </c>
      <c r="C21" s="109" t="s">
        <v>1146</v>
      </c>
      <c r="D21" s="305" t="str">
        <f ca="1">IF(ISERROR(OFFSET('HARGA SATUAN'!$D$6,MATCH(RAB!C21,'HARGA SATUAN'!$C$7:$C$1495,0),0)),"",OFFSET('HARGA SATUAN'!$D$6,MATCH(RAB!C21,'HARGA SATUAN'!$C$7:$C$1495,0),0))</f>
        <v>MDU-KD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1">
        <f>F20*1</f>
        <v>1</v>
      </c>
      <c r="G21" s="307">
        <f ca="1">IF(ISERROR(OFFSET('HARGA SATUAN'!$I$6,MATCH(RAB!C21,'HARGA SATUAN'!$C$7:$C$1495,0),0)),0,OFFSET('HARGA SATUAN'!$I$6,MATCH(RAB!C21,'HARGA SATUAN'!$C$7:$C$1495,0),0))</f>
        <v>56838600</v>
      </c>
      <c r="H21" s="308">
        <f t="shared" ca="1" si="0"/>
        <v>56838600</v>
      </c>
      <c r="I21" s="308">
        <f t="shared" ca="1" si="1"/>
        <v>0</v>
      </c>
      <c r="J21" s="308">
        <f t="shared" ca="1" si="2"/>
        <v>0</v>
      </c>
      <c r="K21" s="309">
        <f t="shared" ca="1" si="3"/>
        <v>56838600</v>
      </c>
      <c r="L21" s="289"/>
      <c r="M21" s="289"/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516">
        <v>2</v>
      </c>
      <c r="C22" s="517" t="s">
        <v>1630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53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0"/>
        <v>0</v>
      </c>
      <c r="I22" s="308">
        <f t="shared" ca="1" si="1"/>
        <v>0</v>
      </c>
      <c r="J22" s="308">
        <f t="shared" ca="1" si="2"/>
        <v>0</v>
      </c>
      <c r="K22" s="309">
        <f t="shared" ca="1" si="3"/>
        <v>0</v>
      </c>
      <c r="L22" s="289"/>
      <c r="M22" s="289"/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722"/>
      <c r="C23" s="517" t="s">
        <v>65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51">
        <f>F20*(3*3)</f>
        <v>9</v>
      </c>
      <c r="G23" s="307">
        <f ca="1">IF(ISERROR(OFFSET('HARGA SATUAN'!$I$6,MATCH(RAB!C23,'HARGA SATUAN'!$C$7:$C$1495,0),0)),0,OFFSET('HARGA SATUAN'!$I$6,MATCH(RAB!C23,'HARGA SATUAN'!$C$7:$C$1495,0),0))</f>
        <v>14200</v>
      </c>
      <c r="H23" s="308">
        <f t="shared" ca="1" si="0"/>
        <v>127800</v>
      </c>
      <c r="I23" s="308">
        <f t="shared" ca="1" si="1"/>
        <v>0</v>
      </c>
      <c r="J23" s="308">
        <f t="shared" ca="1" si="2"/>
        <v>0</v>
      </c>
      <c r="K23" s="309">
        <f t="shared" ca="1" si="3"/>
        <v>127800</v>
      </c>
      <c r="L23" s="289"/>
      <c r="M23" s="289"/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722"/>
      <c r="C24" s="517" t="s">
        <v>1631</v>
      </c>
      <c r="D24" s="305" t="str">
        <f ca="1">IF(ISERROR(OFFSET('HARGA SATUAN'!$D$6,MATCH(RAB!C24,'HARGA SATUAN'!$C$7:$C$1495,0),0)),"",OFFSET('HARGA SATUAN'!$D$6,MATCH(RAB!C24,'HARGA SATUAN'!$C$7:$C$1495,0),0))</f>
        <v/>
      </c>
      <c r="E24" s="306" t="str">
        <f ca="1">IF(B24="+","Unit",IF(ISERROR(OFFSET('HARGA SATUAN'!$E$6,MATCH(RAB!C24,'HARGA SATUAN'!$C$7:$C$1495,0),0)),"",OFFSET('HARGA SATUAN'!$E$6,MATCH(RAB!C24,'HARGA SATUAN'!$C$7:$C$1495,0),0)))</f>
        <v/>
      </c>
      <c r="F24" s="451">
        <f>F20*3</f>
        <v>3</v>
      </c>
      <c r="G24" s="307">
        <f ca="1">IF(ISERROR(OFFSET('HARGA SATUAN'!$I$6,MATCH(RAB!C24,'HARGA SATUAN'!$C$7:$C$1495,0),0)),0,OFFSET('HARGA SATUAN'!$I$6,MATCH(RAB!C24,'HARGA SATUAN'!$C$7:$C$1495,0),0))</f>
        <v>0</v>
      </c>
      <c r="H24" s="308">
        <f t="shared" ca="1" si="0"/>
        <v>0</v>
      </c>
      <c r="I24" s="308">
        <f t="shared" ca="1" si="1"/>
        <v>0</v>
      </c>
      <c r="J24" s="308">
        <f t="shared" ca="1" si="2"/>
        <v>0</v>
      </c>
      <c r="K24" s="309">
        <f t="shared" ca="1" si="3"/>
        <v>0</v>
      </c>
      <c r="L24" s="289"/>
      <c r="M24" s="289"/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722">
        <v>3</v>
      </c>
      <c r="C25" s="109" t="s">
        <v>559</v>
      </c>
      <c r="D25" s="305" t="str">
        <f ca="1">IF(ISERROR(OFFSET('HARGA SATUAN'!$D$6,MATCH(RAB!C25,'HARGA SATUAN'!$C$7:$C$1495,0),0)),"",OFFSET('HARGA SATUAN'!$D$6,MATCH(RAB!C25,'HARGA SATUAN'!$C$7:$C$1495,0),0))</f>
        <v>MDU-KD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51">
        <f>F20*3</f>
        <v>3</v>
      </c>
      <c r="G25" s="307">
        <f ca="1">IF(ISERROR(OFFSET('HARGA SATUAN'!$I$6,MATCH(RAB!C25,'HARGA SATUAN'!$C$7:$C$1495,0),0)),0,OFFSET('HARGA SATUAN'!$I$6,MATCH(RAB!C25,'HARGA SATUAN'!$C$7:$C$1495,0),0))</f>
        <v>725900</v>
      </c>
      <c r="H25" s="308">
        <f t="shared" ca="1" si="0"/>
        <v>2177700</v>
      </c>
      <c r="I25" s="308">
        <f t="shared" ca="1" si="1"/>
        <v>0</v>
      </c>
      <c r="J25" s="308">
        <f t="shared" ca="1" si="2"/>
        <v>0</v>
      </c>
      <c r="K25" s="309">
        <f t="shared" ca="1" si="3"/>
        <v>2177700</v>
      </c>
      <c r="L25" s="289"/>
      <c r="M25" s="289"/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722">
        <v>4</v>
      </c>
      <c r="C26" s="723" t="s">
        <v>535</v>
      </c>
      <c r="D26" s="305" t="str">
        <f ca="1">IF(ISERROR(OFFSET('HARGA SATUAN'!$D$6,MATCH(RAB!C26,'HARGA SATUAN'!$C$7:$C$1495,0),0)),"",OFFSET('HARGA SATUAN'!$D$6,MATCH(RAB!C26,'HARGA SATUAN'!$C$7:$C$1495,0),0))</f>
        <v>MDU-KD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1">
        <f>F20*3</f>
        <v>3</v>
      </c>
      <c r="G26" s="307">
        <f ca="1">IF(ISERROR(OFFSET('HARGA SATUAN'!$I$6,MATCH(RAB!C26,'HARGA SATUAN'!$C$7:$C$1495,0),0)),0,OFFSET('HARGA SATUAN'!$I$6,MATCH(RAB!C26,'HARGA SATUAN'!$C$7:$C$1495,0),0))</f>
        <v>848250</v>
      </c>
      <c r="H26" s="308">
        <f t="shared" ref="H26:H90" ca="1" si="4">IF(OR(D26="MDU",D26="MDU-KD"),(IF($O$3="RAB NON MDU","PLN KD",G26*F26)),0)</f>
        <v>2544750</v>
      </c>
      <c r="I26" s="308">
        <f t="shared" ref="I26:I90" ca="1" si="5">IF(D26="HDW",G26*F26,0)</f>
        <v>0</v>
      </c>
      <c r="J26" s="308">
        <f t="shared" ref="J26:J90" ca="1" si="6">IF(D26="JASA",G26*F26,0)</f>
        <v>0</v>
      </c>
      <c r="K26" s="309">
        <f t="shared" ref="K26:K90" ca="1" si="7">SUM(H26:J26)</f>
        <v>2544750</v>
      </c>
      <c r="L26" s="289"/>
      <c r="M26" s="289"/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722">
        <v>5</v>
      </c>
      <c r="C27" s="723" t="s">
        <v>55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1">
        <f>F20*3</f>
        <v>3</v>
      </c>
      <c r="G27" s="307">
        <f ca="1">IF(ISERROR(OFFSET('HARGA SATUAN'!$I$6,MATCH(RAB!C27,'HARGA SATUAN'!$C$7:$C$1495,0),0)),0,OFFSET('HARGA SATUAN'!$I$6,MATCH(RAB!C27,'HARGA SATUAN'!$C$7:$C$1495,0),0))</f>
        <v>18000</v>
      </c>
      <c r="H27" s="308">
        <f t="shared" ca="1" si="4"/>
        <v>0</v>
      </c>
      <c r="I27" s="308">
        <f t="shared" ca="1" si="5"/>
        <v>54000</v>
      </c>
      <c r="J27" s="308">
        <f t="shared" ca="1" si="6"/>
        <v>0</v>
      </c>
      <c r="K27" s="309">
        <f t="shared" ca="1" si="7"/>
        <v>54000</v>
      </c>
      <c r="L27" s="289"/>
      <c r="M27" s="289"/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722">
        <v>6</v>
      </c>
      <c r="C28" s="723" t="s">
        <v>1615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1">
        <f>F20*13</f>
        <v>13</v>
      </c>
      <c r="G28" s="307">
        <f ca="1">IF(ISERROR(OFFSET('HARGA SATUAN'!$I$6,MATCH(RAB!C28,'HARGA SATUAN'!$C$7:$C$1495,0),0)),0,OFFSET('HARGA SATUAN'!$I$6,MATCH(RAB!C28,'HARGA SATUAN'!$C$7:$C$1495,0),0))</f>
        <v>49000</v>
      </c>
      <c r="H28" s="308">
        <f t="shared" ca="1" si="4"/>
        <v>0</v>
      </c>
      <c r="I28" s="308">
        <f t="shared" ca="1" si="5"/>
        <v>637000</v>
      </c>
      <c r="J28" s="308">
        <f t="shared" ca="1" si="6"/>
        <v>0</v>
      </c>
      <c r="K28" s="309">
        <f t="shared" ca="1" si="7"/>
        <v>637000</v>
      </c>
      <c r="L28" s="289"/>
      <c r="M28" s="289"/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722">
        <v>7</v>
      </c>
      <c r="C29" s="723" t="s">
        <v>163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1">
        <f>F20*28</f>
        <v>28</v>
      </c>
      <c r="G29" s="307">
        <f ca="1">IF(ISERROR(OFFSET('HARGA SATUAN'!$I$6,MATCH(RAB!C29,'HARGA SATUAN'!$C$7:$C$1495,0),0)),0,OFFSET('HARGA SATUAN'!$I$6,MATCH(RAB!C29,'HARGA SATUAN'!$C$7:$C$1495,0),0))</f>
        <v>7938</v>
      </c>
      <c r="H29" s="308">
        <f t="shared" ca="1" si="4"/>
        <v>0</v>
      </c>
      <c r="I29" s="308">
        <f t="shared" ca="1" si="5"/>
        <v>222264</v>
      </c>
      <c r="J29" s="308">
        <f t="shared" ca="1" si="6"/>
        <v>0</v>
      </c>
      <c r="K29" s="309">
        <f t="shared" ca="1" si="7"/>
        <v>222264</v>
      </c>
      <c r="L29" s="289"/>
      <c r="M29" s="289"/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722">
        <v>8</v>
      </c>
      <c r="C30" s="723" t="s">
        <v>176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51">
        <f>F20*2</f>
        <v>2</v>
      </c>
      <c r="G30" s="307">
        <f ca="1">IF(ISERROR(OFFSET('HARGA SATUAN'!$I$6,MATCH(RAB!C30,'HARGA SATUAN'!$C$7:$C$1495,0),0)),0,OFFSET('HARGA SATUAN'!$I$6,MATCH(RAB!C30,'HARGA SATUAN'!$C$7:$C$1495,0),0))</f>
        <v>404600</v>
      </c>
      <c r="H30" s="308">
        <f t="shared" ca="1" si="4"/>
        <v>0</v>
      </c>
      <c r="I30" s="308">
        <f t="shared" ca="1" si="5"/>
        <v>809200</v>
      </c>
      <c r="J30" s="308">
        <f t="shared" ca="1" si="6"/>
        <v>0</v>
      </c>
      <c r="K30" s="309">
        <f t="shared" ca="1" si="7"/>
        <v>809200</v>
      </c>
      <c r="L30" s="289"/>
      <c r="M30" s="289"/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722">
        <v>9</v>
      </c>
      <c r="C31" s="723" t="s">
        <v>184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51">
        <f>F20*3</f>
        <v>3</v>
      </c>
      <c r="G31" s="307">
        <f ca="1">IF(ISERROR(OFFSET('HARGA SATUAN'!$I$6,MATCH(RAB!C31,'HARGA SATUAN'!$C$7:$C$1495,0),0)),0,OFFSET('HARGA SATUAN'!$I$6,MATCH(RAB!C31,'HARGA SATUAN'!$C$7:$C$1495,0),0))</f>
        <v>15900</v>
      </c>
      <c r="H31" s="308">
        <f t="shared" ca="1" si="4"/>
        <v>0</v>
      </c>
      <c r="I31" s="308">
        <f t="shared" ca="1" si="5"/>
        <v>47700</v>
      </c>
      <c r="J31" s="308">
        <f t="shared" ca="1" si="6"/>
        <v>0</v>
      </c>
      <c r="K31" s="309">
        <f t="shared" ca="1" si="7"/>
        <v>47700</v>
      </c>
      <c r="L31" s="289"/>
      <c r="M31" s="289"/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722">
        <v>10</v>
      </c>
      <c r="C32" s="723" t="s">
        <v>592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51">
        <f>F20*5</f>
        <v>5</v>
      </c>
      <c r="G32" s="307">
        <f ca="1">IF(ISERROR(OFFSET('HARGA SATUAN'!$I$6,MATCH(RAB!C32,'HARGA SATUAN'!$C$7:$C$1495,0),0)),0,OFFSET('HARGA SATUAN'!$I$6,MATCH(RAB!C32,'HARGA SATUAN'!$C$7:$C$1495,0),0))</f>
        <v>283100</v>
      </c>
      <c r="H32" s="308">
        <f t="shared" ca="1" si="4"/>
        <v>0</v>
      </c>
      <c r="I32" s="308">
        <f t="shared" ca="1" si="5"/>
        <v>1415500</v>
      </c>
      <c r="J32" s="308">
        <f t="shared" ca="1" si="6"/>
        <v>0</v>
      </c>
      <c r="K32" s="309">
        <f t="shared" ca="1" si="7"/>
        <v>1415500</v>
      </c>
      <c r="L32" s="289"/>
      <c r="M32" s="289"/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722">
        <v>11</v>
      </c>
      <c r="C33" s="723" t="s">
        <v>593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51">
        <f>F20*4</f>
        <v>4</v>
      </c>
      <c r="G33" s="307">
        <f ca="1">IF(ISERROR(OFFSET('HARGA SATUAN'!$I$6,MATCH(RAB!C33,'HARGA SATUAN'!$C$7:$C$1495,0),0)),0,OFFSET('HARGA SATUAN'!$I$6,MATCH(RAB!C33,'HARGA SATUAN'!$C$7:$C$1495,0),0))</f>
        <v>380500</v>
      </c>
      <c r="H33" s="308">
        <f t="shared" ca="1" si="4"/>
        <v>0</v>
      </c>
      <c r="I33" s="308">
        <f t="shared" ca="1" si="5"/>
        <v>1522000</v>
      </c>
      <c r="J33" s="308">
        <f t="shared" ca="1" si="6"/>
        <v>0</v>
      </c>
      <c r="K33" s="309">
        <f t="shared" ca="1" si="7"/>
        <v>1522000</v>
      </c>
      <c r="L33" s="289"/>
      <c r="M33" s="289"/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722">
        <v>12</v>
      </c>
      <c r="C34" s="723" t="s">
        <v>208</v>
      </c>
      <c r="D34" s="305" t="str">
        <f ca="1">IF(ISERROR(OFFSET('HARGA SATUAN'!$D$6,MATCH(RAB!C34,'HARGA SATUAN'!$C$7:$C$1495,0),0)),"",OFFSET('HARGA SATUAN'!$D$6,MATCH(RAB!C34,'HARGA SATUAN'!$C$7:$C$1495,0),0))</f>
        <v>HDW</v>
      </c>
      <c r="E34" s="306" t="str">
        <f ca="1">IF(B34="+","Unit",IF(ISERROR(OFFSET('HARGA SATUAN'!$E$6,MATCH(RAB!C34,'HARGA SATUAN'!$C$7:$C$1495,0),0)),"",OFFSET('HARGA SATUAN'!$E$6,MATCH(RAB!C34,'HARGA SATUAN'!$C$7:$C$1495,0),0)))</f>
        <v>Bh</v>
      </c>
      <c r="F34" s="451">
        <f>F20*3</f>
        <v>3</v>
      </c>
      <c r="G34" s="307">
        <f ca="1">IF(ISERROR(OFFSET('HARGA SATUAN'!$I$6,MATCH(RAB!C34,'HARGA SATUAN'!$C$7:$C$1495,0),0)),0,OFFSET('HARGA SATUAN'!$I$6,MATCH(RAB!C34,'HARGA SATUAN'!$C$7:$C$1495,0),0))</f>
        <v>173400</v>
      </c>
      <c r="H34" s="308">
        <f t="shared" ca="1" si="4"/>
        <v>0</v>
      </c>
      <c r="I34" s="308">
        <f t="shared" ca="1" si="5"/>
        <v>520200</v>
      </c>
      <c r="J34" s="308">
        <f t="shared" ca="1" si="6"/>
        <v>0</v>
      </c>
      <c r="K34" s="309">
        <f t="shared" ca="1" si="7"/>
        <v>520200</v>
      </c>
      <c r="L34" s="289"/>
      <c r="M34" s="289"/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722">
        <v>13</v>
      </c>
      <c r="C35" s="723" t="s">
        <v>247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1">
        <f>F20*2</f>
        <v>2</v>
      </c>
      <c r="G35" s="307">
        <f ca="1">IF(ISERROR(OFFSET('HARGA SATUAN'!$I$6,MATCH(RAB!C35,'HARGA SATUAN'!$C$7:$C$1495,0),0)),0,OFFSET('HARGA SATUAN'!$I$6,MATCH(RAB!C35,'HARGA SATUAN'!$C$7:$C$1495,0),0))</f>
        <v>57690</v>
      </c>
      <c r="H35" s="308">
        <f t="shared" ca="1" si="4"/>
        <v>0</v>
      </c>
      <c r="I35" s="308">
        <f t="shared" ca="1" si="5"/>
        <v>115380</v>
      </c>
      <c r="J35" s="308">
        <f t="shared" ca="1" si="6"/>
        <v>0</v>
      </c>
      <c r="K35" s="309">
        <f t="shared" ca="1" si="7"/>
        <v>115380</v>
      </c>
      <c r="L35" s="289"/>
      <c r="M35" s="289"/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722">
        <v>14</v>
      </c>
      <c r="C36" s="723" t="s">
        <v>234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51">
        <f>F20*2</f>
        <v>2</v>
      </c>
      <c r="G36" s="307">
        <f ca="1">IF(ISERROR(OFFSET('HARGA SATUAN'!$I$6,MATCH(RAB!C36,'HARGA SATUAN'!$C$7:$C$1495,0),0)),0,OFFSET('HARGA SATUAN'!$I$6,MATCH(RAB!C36,'HARGA SATUAN'!$C$7:$C$1495,0),0))</f>
        <v>67500</v>
      </c>
      <c r="H36" s="308">
        <f t="shared" ca="1" si="4"/>
        <v>0</v>
      </c>
      <c r="I36" s="308">
        <f t="shared" ca="1" si="5"/>
        <v>135000</v>
      </c>
      <c r="J36" s="308">
        <f t="shared" ca="1" si="6"/>
        <v>0</v>
      </c>
      <c r="K36" s="309">
        <f t="shared" ca="1" si="7"/>
        <v>135000</v>
      </c>
      <c r="L36" s="289"/>
      <c r="M36" s="289"/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722">
        <v>15</v>
      </c>
      <c r="C37" s="723" t="s">
        <v>267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1">
        <f>F20*4</f>
        <v>4</v>
      </c>
      <c r="G37" s="307">
        <f ca="1">IF(ISERROR(OFFSET('HARGA SATUAN'!$I$6,MATCH(RAB!C37,'HARGA SATUAN'!$C$7:$C$1495,0),0)),0,OFFSET('HARGA SATUAN'!$I$6,MATCH(RAB!C37,'HARGA SATUAN'!$C$7:$C$1495,0),0))</f>
        <v>129000</v>
      </c>
      <c r="H37" s="308">
        <f t="shared" ca="1" si="4"/>
        <v>0</v>
      </c>
      <c r="I37" s="308">
        <f t="shared" ca="1" si="5"/>
        <v>516000</v>
      </c>
      <c r="J37" s="308">
        <f t="shared" ca="1" si="6"/>
        <v>0</v>
      </c>
      <c r="K37" s="309">
        <f t="shared" ca="1" si="7"/>
        <v>516000</v>
      </c>
      <c r="L37" s="289"/>
      <c r="M37" s="289"/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722">
        <v>16</v>
      </c>
      <c r="C38" s="723" t="s">
        <v>607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Bh</v>
      </c>
      <c r="F38" s="451">
        <f>F20*1</f>
        <v>1</v>
      </c>
      <c r="G38" s="307">
        <f ca="1">IF(ISERROR(OFFSET('HARGA SATUAN'!$I$6,MATCH(RAB!C38,'HARGA SATUAN'!$C$7:$C$1495,0),0)),0,OFFSET('HARGA SATUAN'!$I$6,MATCH(RAB!C38,'HARGA SATUAN'!$C$7:$C$1495,0),0))</f>
        <v>250000</v>
      </c>
      <c r="H38" s="308">
        <f t="shared" ca="1" si="4"/>
        <v>0</v>
      </c>
      <c r="I38" s="308">
        <f t="shared" ca="1" si="5"/>
        <v>250000</v>
      </c>
      <c r="J38" s="308">
        <f t="shared" ca="1" si="6"/>
        <v>0</v>
      </c>
      <c r="K38" s="309">
        <f t="shared" ca="1" si="7"/>
        <v>250000</v>
      </c>
      <c r="L38" s="289"/>
      <c r="M38" s="289"/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722">
        <v>17</v>
      </c>
      <c r="C39" s="723" t="s">
        <v>784</v>
      </c>
      <c r="D39" s="305" t="str">
        <f ca="1">IF(ISERROR(OFFSET('HARGA SATUAN'!$D$6,MATCH(RAB!C39,'HARGA SATUAN'!$C$7:$C$1495,0),0)),"",OFFSET('HARGA SATUAN'!$D$6,MATCH(RAB!C39,'HARGA SATUAN'!$C$7:$C$1495,0),0))</f>
        <v>JASA</v>
      </c>
      <c r="E39" s="306" t="str">
        <f ca="1">IF(B39="+","Unit",IF(ISERROR(OFFSET('HARGA SATUAN'!$E$6,MATCH(RAB!C39,'HARGA SATUAN'!$C$7:$C$1495,0),0)),"",OFFSET('HARGA SATUAN'!$E$6,MATCH(RAB!C39,'HARGA SATUAN'!$C$7:$C$1495,0),0)))</f>
        <v>Unit</v>
      </c>
      <c r="F39" s="451"/>
      <c r="G39" s="307">
        <f ca="1">IF(ISERROR(OFFSET('HARGA SATUAN'!$I$6,MATCH(RAB!C39,'HARGA SATUAN'!$C$7:$C$1495,0),0)),0,OFFSET('HARGA SATUAN'!$I$6,MATCH(RAB!C39,'HARGA SATUAN'!$C$7:$C$1495,0),0))</f>
        <v>2953300</v>
      </c>
      <c r="H39" s="308">
        <f t="shared" ref="H39" ca="1" si="8">IF(OR(D39="MDU",D39="MDU-KD"),(IF($O$3="RAB NON MDU","PLN KD",G39*F39)),0)</f>
        <v>0</v>
      </c>
      <c r="I39" s="308">
        <f t="shared" ref="I39" ca="1" si="9">IF(D39="HDW",G39*F39,0)</f>
        <v>0</v>
      </c>
      <c r="J39" s="308">
        <f t="shared" ref="J39" ca="1" si="10">IF(D39="JASA",G39*F39,0)</f>
        <v>0</v>
      </c>
      <c r="K39" s="309">
        <f t="shared" ref="K39" ca="1" si="11">SUM(H39:J39)</f>
        <v>0</v>
      </c>
      <c r="L39" s="289"/>
      <c r="M39" s="289"/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512"/>
      <c r="C40" s="513"/>
      <c r="D40" s="305" t="str">
        <f ca="1">IF(ISERROR(OFFSET('HARGA SATUAN'!$D$6,MATCH(RAB!C40,'HARGA SATUAN'!$C$7:$C$1495,0),0)),"",OFFSET('HARGA SATUAN'!$D$6,MATCH(RAB!C40,'HARGA SATUAN'!$C$7:$C$1495,0),0))</f>
        <v/>
      </c>
      <c r="E40" s="306" t="str">
        <f ca="1">IF(B40="+","Unit",IF(ISERROR(OFFSET('HARGA SATUAN'!$E$6,MATCH(RAB!C40,'HARGA SATUAN'!$C$7:$C$1495,0),0)),"",OFFSET('HARGA SATUAN'!$E$6,MATCH(RAB!C40,'HARGA SATUAN'!$C$7:$C$1495,0),0)))</f>
        <v/>
      </c>
      <c r="F40" s="451"/>
      <c r="G40" s="307">
        <f ca="1">IF(ISERROR(OFFSET('HARGA SATUAN'!$I$6,MATCH(RAB!C40,'HARGA SATUAN'!$C$7:$C$1495,0),0)),0,OFFSET('HARGA SATUAN'!$I$6,MATCH(RAB!C40,'HARGA SATUAN'!$C$7:$C$1495,0),0))</f>
        <v>0</v>
      </c>
      <c r="H40" s="308">
        <f t="shared" ca="1" si="4"/>
        <v>0</v>
      </c>
      <c r="I40" s="308">
        <f t="shared" ca="1" si="5"/>
        <v>0</v>
      </c>
      <c r="J40" s="308">
        <f t="shared" ca="1" si="6"/>
        <v>0</v>
      </c>
      <c r="K40" s="309">
        <f t="shared" ca="1" si="7"/>
        <v>0</v>
      </c>
      <c r="L40" s="289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516" t="s">
        <v>1035</v>
      </c>
      <c r="C41" s="518" t="s">
        <v>1629</v>
      </c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>Unit</v>
      </c>
      <c r="F41" s="451">
        <v>2</v>
      </c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4"/>
        <v>0</v>
      </c>
      <c r="I41" s="308">
        <f t="shared" ca="1" si="5"/>
        <v>0</v>
      </c>
      <c r="J41" s="308">
        <f t="shared" ca="1" si="6"/>
        <v>0</v>
      </c>
      <c r="K41" s="309">
        <f t="shared" ca="1" si="7"/>
        <v>0</v>
      </c>
      <c r="L41" s="289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516">
        <v>1</v>
      </c>
      <c r="C42" s="519" t="s">
        <v>29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Bh</v>
      </c>
      <c r="F42" s="451">
        <f>F41*1</f>
        <v>2</v>
      </c>
      <c r="G42" s="307">
        <f ca="1">IF(ISERROR(OFFSET('HARGA SATUAN'!$I$6,MATCH(RAB!C42,'HARGA SATUAN'!$C$7:$C$1495,0),0)),0,OFFSET('HARGA SATUAN'!$I$6,MATCH(RAB!C42,'HARGA SATUAN'!$C$7:$C$1495,0),0))</f>
        <v>185200</v>
      </c>
      <c r="H42" s="308">
        <f t="shared" ca="1" si="4"/>
        <v>0</v>
      </c>
      <c r="I42" s="308">
        <f t="shared" ca="1" si="5"/>
        <v>370400</v>
      </c>
      <c r="J42" s="308">
        <f t="shared" ca="1" si="6"/>
        <v>0</v>
      </c>
      <c r="K42" s="309">
        <f t="shared" ca="1" si="7"/>
        <v>370400</v>
      </c>
      <c r="L42" s="289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514">
        <v>2</v>
      </c>
      <c r="C43" s="515" t="s">
        <v>30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Bh</v>
      </c>
      <c r="F43" s="451">
        <f>F41*1</f>
        <v>2</v>
      </c>
      <c r="G43" s="307">
        <f ca="1">IF(ISERROR(OFFSET('HARGA SATUAN'!$I$6,MATCH(RAB!C43,'HARGA SATUAN'!$C$7:$C$1495,0),0)),0,OFFSET('HARGA SATUAN'!$I$6,MATCH(RAB!C43,'HARGA SATUAN'!$C$7:$C$1495,0),0))</f>
        <v>47459</v>
      </c>
      <c r="H43" s="308">
        <f t="shared" ca="1" si="4"/>
        <v>0</v>
      </c>
      <c r="I43" s="308">
        <f t="shared" ca="1" si="5"/>
        <v>94918</v>
      </c>
      <c r="J43" s="308">
        <f t="shared" ca="1" si="6"/>
        <v>0</v>
      </c>
      <c r="K43" s="309">
        <f t="shared" ca="1" si="7"/>
        <v>94918</v>
      </c>
      <c r="L43" s="289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514">
        <v>3</v>
      </c>
      <c r="C44" s="515" t="s">
        <v>31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Bh</v>
      </c>
      <c r="F44" s="451">
        <f>F41*1</f>
        <v>2</v>
      </c>
      <c r="G44" s="307">
        <f ca="1">IF(ISERROR(OFFSET('HARGA SATUAN'!$I$6,MATCH(RAB!C44,'HARGA SATUAN'!$C$7:$C$1495,0),0)),0,OFFSET('HARGA SATUAN'!$I$6,MATCH(RAB!C44,'HARGA SATUAN'!$C$7:$C$1495,0),0))</f>
        <v>4880</v>
      </c>
      <c r="H44" s="308">
        <f t="shared" ca="1" si="4"/>
        <v>0</v>
      </c>
      <c r="I44" s="308">
        <f t="shared" ca="1" si="5"/>
        <v>9760</v>
      </c>
      <c r="J44" s="308">
        <f t="shared" ca="1" si="6"/>
        <v>0</v>
      </c>
      <c r="K44" s="309">
        <f t="shared" ca="1" si="7"/>
        <v>9760</v>
      </c>
      <c r="L44" s="289"/>
      <c r="M44" s="289"/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514">
        <v>4</v>
      </c>
      <c r="C45" s="515" t="s">
        <v>32</v>
      </c>
      <c r="D45" s="305" t="str">
        <f ca="1">IF(ISERROR(OFFSET('HARGA SATUAN'!$D$6,MATCH(RAB!C45,'HARGA SATUAN'!$C$7:$C$1495,0),0)),"",OFFSET('HARGA SATUAN'!$D$6,MATCH(RAB!C45,'HARGA SATUAN'!$C$7:$C$1495,0),0))</f>
        <v>HDW</v>
      </c>
      <c r="E45" s="306" t="str">
        <f ca="1">IF(B45="+","Unit",IF(ISERROR(OFFSET('HARGA SATUAN'!$E$6,MATCH(RAB!C45,'HARGA SATUAN'!$C$7:$C$1495,0),0)),"",OFFSET('HARGA SATUAN'!$E$6,MATCH(RAB!C45,'HARGA SATUAN'!$C$7:$C$1495,0),0)))</f>
        <v>Mtr</v>
      </c>
      <c r="F45" s="451">
        <f>F41*10</f>
        <v>20</v>
      </c>
      <c r="G45" s="307">
        <f ca="1">IF(ISERROR(OFFSET('HARGA SATUAN'!$I$6,MATCH(RAB!C45,'HARGA SATUAN'!$C$7:$C$1495,0),0)),0,OFFSET('HARGA SATUAN'!$I$6,MATCH(RAB!C45,'HARGA SATUAN'!$C$7:$C$1495,0),0))</f>
        <v>30000</v>
      </c>
      <c r="H45" s="308">
        <f t="shared" ca="1" si="4"/>
        <v>0</v>
      </c>
      <c r="I45" s="308">
        <f t="shared" ca="1" si="5"/>
        <v>600000</v>
      </c>
      <c r="J45" s="308">
        <f t="shared" ca="1" si="6"/>
        <v>0</v>
      </c>
      <c r="K45" s="309">
        <f t="shared" ca="1" si="7"/>
        <v>600000</v>
      </c>
      <c r="L45" s="289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514">
        <v>5</v>
      </c>
      <c r="C46" s="515" t="s">
        <v>33</v>
      </c>
      <c r="D46" s="305" t="str">
        <f ca="1">IF(ISERROR(OFFSET('HARGA SATUAN'!$D$6,MATCH(RAB!C46,'HARGA SATUAN'!$C$7:$C$1495,0),0)),"",OFFSET('HARGA SATUAN'!$D$6,MATCH(RAB!C46,'HARGA SATUAN'!$C$7:$C$1495,0),0))</f>
        <v>HDW</v>
      </c>
      <c r="E46" s="306" t="str">
        <f ca="1">IF(B46="+","Unit",IF(ISERROR(OFFSET('HARGA SATUAN'!$E$6,MATCH(RAB!C46,'HARGA SATUAN'!$C$7:$C$1495,0),0)),"",OFFSET('HARGA SATUAN'!$E$6,MATCH(RAB!C46,'HARGA SATUAN'!$C$7:$C$1495,0),0)))</f>
        <v>Bh</v>
      </c>
      <c r="F46" s="451">
        <f>F41*2</f>
        <v>4</v>
      </c>
      <c r="G46" s="307">
        <f ca="1">IF(ISERROR(OFFSET('HARGA SATUAN'!$I$6,MATCH(RAB!C46,'HARGA SATUAN'!$C$7:$C$1495,0),0)),0,OFFSET('HARGA SATUAN'!$I$6,MATCH(RAB!C46,'HARGA SATUAN'!$C$7:$C$1495,0),0))</f>
        <v>9500</v>
      </c>
      <c r="H46" s="308">
        <f t="shared" ca="1" si="4"/>
        <v>0</v>
      </c>
      <c r="I46" s="308">
        <f t="shared" ca="1" si="5"/>
        <v>38000</v>
      </c>
      <c r="J46" s="308">
        <f t="shared" ca="1" si="6"/>
        <v>0</v>
      </c>
      <c r="K46" s="309">
        <f t="shared" ca="1" si="7"/>
        <v>38000</v>
      </c>
      <c r="L46" s="289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514">
        <v>6</v>
      </c>
      <c r="C47" s="515" t="s">
        <v>34</v>
      </c>
      <c r="D47" s="305" t="str">
        <f ca="1">IF(ISERROR(OFFSET('HARGA SATUAN'!$D$6,MATCH(RAB!C47,'HARGA SATUAN'!$C$7:$C$1495,0),0)),"",OFFSET('HARGA SATUAN'!$D$6,MATCH(RAB!C47,'HARGA SATUAN'!$C$7:$C$1495,0),0))</f>
        <v>HDW</v>
      </c>
      <c r="E47" s="306" t="str">
        <f ca="1">IF(B47="+","Unit",IF(ISERROR(OFFSET('HARGA SATUAN'!$E$6,MATCH(RAB!C47,'HARGA SATUAN'!$C$7:$C$1495,0),0)),"",OFFSET('HARGA SATUAN'!$E$6,MATCH(RAB!C47,'HARGA SATUAN'!$C$7:$C$1495,0),0)))</f>
        <v>Bh</v>
      </c>
      <c r="F47" s="451">
        <f>F41*5.5</f>
        <v>11</v>
      </c>
      <c r="G47" s="307">
        <f ca="1">IF(ISERROR(OFFSET('HARGA SATUAN'!$I$6,MATCH(RAB!C47,'HARGA SATUAN'!$C$7:$C$1495,0),0)),0,OFFSET('HARGA SATUAN'!$I$6,MATCH(RAB!C47,'HARGA SATUAN'!$C$7:$C$1495,0),0))</f>
        <v>6100</v>
      </c>
      <c r="H47" s="308">
        <f t="shared" ca="1" si="4"/>
        <v>0</v>
      </c>
      <c r="I47" s="308">
        <f t="shared" ca="1" si="5"/>
        <v>67100</v>
      </c>
      <c r="J47" s="308">
        <f t="shared" ca="1" si="6"/>
        <v>0</v>
      </c>
      <c r="K47" s="309">
        <f t="shared" ca="1" si="7"/>
        <v>67100</v>
      </c>
      <c r="L47" s="289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514">
        <v>7</v>
      </c>
      <c r="C48" s="515" t="s">
        <v>35</v>
      </c>
      <c r="D48" s="305" t="str">
        <f ca="1">IF(ISERROR(OFFSET('HARGA SATUAN'!$D$6,MATCH(RAB!C48,'HARGA SATUAN'!$C$7:$C$1495,0),0)),"",OFFSET('HARGA SATUAN'!$D$6,MATCH(RAB!C48,'HARGA SATUAN'!$C$7:$C$1495,0),0))</f>
        <v>HDW</v>
      </c>
      <c r="E48" s="306" t="str">
        <f ca="1">IF(B48="+","Unit",IF(ISERROR(OFFSET('HARGA SATUAN'!$E$6,MATCH(RAB!C48,'HARGA SATUAN'!$C$7:$C$1495,0),0)),"",OFFSET('HARGA SATUAN'!$E$6,MATCH(RAB!C48,'HARGA SATUAN'!$C$7:$C$1495,0),0)))</f>
        <v>Bh</v>
      </c>
      <c r="F48" s="451">
        <f>F41*6</f>
        <v>12</v>
      </c>
      <c r="G48" s="307">
        <f ca="1">IF(ISERROR(OFFSET('HARGA SATUAN'!$I$6,MATCH(RAB!C48,'HARGA SATUAN'!$C$7:$C$1495,0),0)),0,OFFSET('HARGA SATUAN'!$I$6,MATCH(RAB!C48,'HARGA SATUAN'!$C$7:$C$1495,0),0))</f>
        <v>2300</v>
      </c>
      <c r="H48" s="308">
        <f t="shared" ca="1" si="4"/>
        <v>0</v>
      </c>
      <c r="I48" s="308">
        <f t="shared" ca="1" si="5"/>
        <v>27600</v>
      </c>
      <c r="J48" s="308">
        <f t="shared" ca="1" si="6"/>
        <v>0</v>
      </c>
      <c r="K48" s="309">
        <f t="shared" ca="1" si="7"/>
        <v>27600</v>
      </c>
      <c r="L48" s="289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514">
        <v>8</v>
      </c>
      <c r="C49" s="515" t="s">
        <v>1632</v>
      </c>
      <c r="D49" s="305" t="str">
        <f ca="1">IF(ISERROR(OFFSET('HARGA SATUAN'!$D$6,MATCH(RAB!C49,'HARGA SATUAN'!$C$7:$C$1495,0),0)),"",OFFSET('HARGA SATUAN'!$D$6,MATCH(RAB!C49,'HARGA SATUAN'!$C$7:$C$1495,0),0))</f>
        <v>HDW</v>
      </c>
      <c r="E49" s="306" t="str">
        <f ca="1">IF(B49="+","Unit",IF(ISERROR(OFFSET('HARGA SATUAN'!$E$6,MATCH(RAB!C49,'HARGA SATUAN'!$C$7:$C$1495,0),0)),"",OFFSET('HARGA SATUAN'!$E$6,MATCH(RAB!C49,'HARGA SATUAN'!$C$7:$C$1495,0),0)))</f>
        <v>Mtr</v>
      </c>
      <c r="F49" s="451">
        <f>F41*4.8</f>
        <v>9.6</v>
      </c>
      <c r="G49" s="307">
        <f ca="1">IF(ISERROR(OFFSET('HARGA SATUAN'!$I$6,MATCH(RAB!C49,'HARGA SATUAN'!$C$7:$C$1495,0),0)),0,OFFSET('HARGA SATUAN'!$I$6,MATCH(RAB!C49,'HARGA SATUAN'!$C$7:$C$1495,0),0))</f>
        <v>23310</v>
      </c>
      <c r="H49" s="308">
        <f t="shared" ca="1" si="4"/>
        <v>0</v>
      </c>
      <c r="I49" s="308">
        <f t="shared" ca="1" si="5"/>
        <v>223776</v>
      </c>
      <c r="J49" s="308">
        <f t="shared" ca="1" si="6"/>
        <v>0</v>
      </c>
      <c r="K49" s="309">
        <f t="shared" ca="1" si="7"/>
        <v>223776</v>
      </c>
      <c r="L49" s="289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514">
        <v>9</v>
      </c>
      <c r="C50" s="515" t="s">
        <v>736</v>
      </c>
      <c r="D50" s="305" t="str">
        <f ca="1">IF(ISERROR(OFFSET('HARGA SATUAN'!$D$6,MATCH(RAB!C50,'HARGA SATUAN'!$C$7:$C$1495,0),0)),"",OFFSET('HARGA SATUAN'!$D$6,MATCH(RAB!C50,'HARGA SATUAN'!$C$7:$C$1495,0),0))</f>
        <v>JASA</v>
      </c>
      <c r="E50" s="306" t="str">
        <f ca="1">IF(B50="+","Unit",IF(ISERROR(OFFSET('HARGA SATUAN'!$E$6,MATCH(RAB!C50,'HARGA SATUAN'!$C$7:$C$1495,0),0)),"",OFFSET('HARGA SATUAN'!$E$6,MATCH(RAB!C50,'HARGA SATUAN'!$C$7:$C$1495,0),0)))</f>
        <v>Unit</v>
      </c>
      <c r="F50" s="451">
        <f>F41*1</f>
        <v>2</v>
      </c>
      <c r="G50" s="307">
        <f ca="1">IF(ISERROR(OFFSET('HARGA SATUAN'!$I$6,MATCH(RAB!C50,'HARGA SATUAN'!$C$7:$C$1495,0),0)),0,OFFSET('HARGA SATUAN'!$I$6,MATCH(RAB!C50,'HARGA SATUAN'!$C$7:$C$1495,0),0))</f>
        <v>65400</v>
      </c>
      <c r="H50" s="308">
        <f t="shared" ca="1" si="4"/>
        <v>0</v>
      </c>
      <c r="I50" s="308">
        <f t="shared" ca="1" si="5"/>
        <v>0</v>
      </c>
      <c r="J50" s="308">
        <f t="shared" ca="1" si="6"/>
        <v>130800</v>
      </c>
      <c r="K50" s="309">
        <f t="shared" ca="1" si="7"/>
        <v>130800</v>
      </c>
      <c r="L50" s="289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514"/>
      <c r="C51" s="515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51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4"/>
        <v>0</v>
      </c>
      <c r="I51" s="308">
        <f t="shared" ca="1" si="5"/>
        <v>0</v>
      </c>
      <c r="J51" s="308">
        <f t="shared" ca="1" si="6"/>
        <v>0</v>
      </c>
      <c r="K51" s="309">
        <f t="shared" ca="1" si="7"/>
        <v>0</v>
      </c>
      <c r="L51" s="289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722" t="s">
        <v>1035</v>
      </c>
      <c r="C52" s="723" t="s">
        <v>1635</v>
      </c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>Unit</v>
      </c>
      <c r="F52" s="724">
        <v>2</v>
      </c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4"/>
        <v>0</v>
      </c>
      <c r="I52" s="308">
        <f t="shared" ca="1" si="5"/>
        <v>0</v>
      </c>
      <c r="J52" s="308">
        <f t="shared" ca="1" si="6"/>
        <v>0</v>
      </c>
      <c r="K52" s="309">
        <f t="shared" ca="1" si="7"/>
        <v>0</v>
      </c>
      <c r="L52" s="289"/>
      <c r="M52" s="289"/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 ht="30">
      <c r="A53" s="283"/>
      <c r="B53" s="722">
        <v>1</v>
      </c>
      <c r="C53" s="723" t="s">
        <v>1644</v>
      </c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724">
        <f>F52*3</f>
        <v>6</v>
      </c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4"/>
        <v>0</v>
      </c>
      <c r="I53" s="308">
        <f t="shared" ca="1" si="5"/>
        <v>0</v>
      </c>
      <c r="J53" s="308">
        <f t="shared" ca="1" si="6"/>
        <v>0</v>
      </c>
      <c r="K53" s="309">
        <f t="shared" ca="1" si="7"/>
        <v>0</v>
      </c>
      <c r="L53" s="289"/>
      <c r="M53" s="289"/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722">
        <v>2</v>
      </c>
      <c r="C54" s="723" t="s">
        <v>152</v>
      </c>
      <c r="D54" s="305" t="str">
        <f ca="1">IF(ISERROR(OFFSET('HARGA SATUAN'!$D$6,MATCH(RAB!C54,'HARGA SATUAN'!$C$7:$C$1495,0),0)),"",OFFSET('HARGA SATUAN'!$D$6,MATCH(RAB!C54,'HARGA SATUAN'!$C$7:$C$1495,0),0))</f>
        <v>HDW</v>
      </c>
      <c r="E54" s="306" t="str">
        <f ca="1">IF(B54="+","Unit",IF(ISERROR(OFFSET('HARGA SATUAN'!$E$6,MATCH(RAB!C54,'HARGA SATUAN'!$C$7:$C$1495,0),0)),"",OFFSET('HARGA SATUAN'!$E$6,MATCH(RAB!C54,'HARGA SATUAN'!$C$7:$C$1495,0),0)))</f>
        <v>Mtr</v>
      </c>
      <c r="F54" s="724">
        <f>F52*1</f>
        <v>2</v>
      </c>
      <c r="G54" s="307">
        <f ca="1">IF(ISERROR(OFFSET('HARGA SATUAN'!$I$6,MATCH(RAB!C54,'HARGA SATUAN'!$C$7:$C$1495,0),0)),0,OFFSET('HARGA SATUAN'!$I$6,MATCH(RAB!C54,'HARGA SATUAN'!$C$7:$C$1495,0),0))</f>
        <v>7789</v>
      </c>
      <c r="H54" s="308">
        <f t="shared" ca="1" si="4"/>
        <v>0</v>
      </c>
      <c r="I54" s="308">
        <f t="shared" ca="1" si="5"/>
        <v>15578</v>
      </c>
      <c r="J54" s="308">
        <f t="shared" ca="1" si="6"/>
        <v>0</v>
      </c>
      <c r="K54" s="309">
        <f t="shared" ca="1" si="7"/>
        <v>15578</v>
      </c>
      <c r="L54" s="289"/>
      <c r="M54" s="289"/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722">
        <v>3</v>
      </c>
      <c r="C55" s="723" t="s">
        <v>157</v>
      </c>
      <c r="D55" s="305" t="str">
        <f ca="1">IF(ISERROR(OFFSET('HARGA SATUAN'!$D$6,MATCH(RAB!C55,'HARGA SATUAN'!$C$7:$C$1495,0),0)),"",OFFSET('HARGA SATUAN'!$D$6,MATCH(RAB!C55,'HARGA SATUAN'!$C$7:$C$1495,0),0))</f>
        <v>HDW</v>
      </c>
      <c r="E55" s="306" t="str">
        <f ca="1">IF(B55="+","Unit",IF(ISERROR(OFFSET('HARGA SATUAN'!$E$6,MATCH(RAB!C55,'HARGA SATUAN'!$C$7:$C$1495,0),0)),"",OFFSET('HARGA SATUAN'!$E$6,MATCH(RAB!C55,'HARGA SATUAN'!$C$7:$C$1495,0),0)))</f>
        <v>Bh</v>
      </c>
      <c r="F55" s="724">
        <f>F52*2</f>
        <v>4</v>
      </c>
      <c r="G55" s="307">
        <f ca="1">IF(ISERROR(OFFSET('HARGA SATUAN'!$I$6,MATCH(RAB!C55,'HARGA SATUAN'!$C$7:$C$1495,0),0)),0,OFFSET('HARGA SATUAN'!$I$6,MATCH(RAB!C55,'HARGA SATUAN'!$C$7:$C$1495,0),0))</f>
        <v>40000</v>
      </c>
      <c r="H55" s="308">
        <f t="shared" ca="1" si="4"/>
        <v>0</v>
      </c>
      <c r="I55" s="308">
        <f t="shared" ca="1" si="5"/>
        <v>160000</v>
      </c>
      <c r="J55" s="308">
        <f t="shared" ca="1" si="6"/>
        <v>0</v>
      </c>
      <c r="K55" s="309">
        <f t="shared" ca="1" si="7"/>
        <v>160000</v>
      </c>
      <c r="L55" s="289"/>
      <c r="M55" s="289"/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722">
        <v>4</v>
      </c>
      <c r="C56" s="723" t="s">
        <v>28</v>
      </c>
      <c r="D56" s="305" t="str">
        <f ca="1">IF(ISERROR(OFFSET('HARGA SATUAN'!$D$6,MATCH(RAB!C56,'HARGA SATUAN'!$C$7:$C$1495,0),0)),"",OFFSET('HARGA SATUAN'!$D$6,MATCH(RAB!C56,'HARGA SATUAN'!$C$7:$C$1495,0),0))</f>
        <v>HDW</v>
      </c>
      <c r="E56" s="306" t="str">
        <f ca="1">IF(B56="+","Unit",IF(ISERROR(OFFSET('HARGA SATUAN'!$E$6,MATCH(RAB!C56,'HARGA SATUAN'!$C$7:$C$1495,0),0)),"",OFFSET('HARGA SATUAN'!$E$6,MATCH(RAB!C56,'HARGA SATUAN'!$C$7:$C$1495,0),0)))</f>
        <v>Bh</v>
      </c>
      <c r="F56" s="724">
        <f>F52*1</f>
        <v>2</v>
      </c>
      <c r="G56" s="307">
        <f ca="1">IF(ISERROR(OFFSET('HARGA SATUAN'!$I$6,MATCH(RAB!C56,'HARGA SATUAN'!$C$7:$C$1495,0),0)),0,OFFSET('HARGA SATUAN'!$I$6,MATCH(RAB!C56,'HARGA SATUAN'!$C$7:$C$1495,0),0))</f>
        <v>26500</v>
      </c>
      <c r="H56" s="308">
        <f t="shared" ca="1" si="4"/>
        <v>0</v>
      </c>
      <c r="I56" s="308">
        <f t="shared" ca="1" si="5"/>
        <v>53000</v>
      </c>
      <c r="J56" s="308">
        <f t="shared" ca="1" si="6"/>
        <v>0</v>
      </c>
      <c r="K56" s="309">
        <f t="shared" ca="1" si="7"/>
        <v>53000</v>
      </c>
      <c r="L56" s="289"/>
      <c r="M56" s="289"/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722">
        <v>5</v>
      </c>
      <c r="C57" s="723" t="s">
        <v>163</v>
      </c>
      <c r="D57" s="305" t="str">
        <f ca="1">IF(ISERROR(OFFSET('HARGA SATUAN'!$D$6,MATCH(RAB!C57,'HARGA SATUAN'!$C$7:$C$1495,0),0)),"",OFFSET('HARGA SATUAN'!$D$6,MATCH(RAB!C57,'HARGA SATUAN'!$C$7:$C$1495,0),0))</f>
        <v>HDW</v>
      </c>
      <c r="E57" s="306" t="str">
        <f ca="1">IF(B57="+","Unit",IF(ISERROR(OFFSET('HARGA SATUAN'!$E$6,MATCH(RAB!C57,'HARGA SATUAN'!$C$7:$C$1495,0),0)),"",OFFSET('HARGA SATUAN'!$E$6,MATCH(RAB!C57,'HARGA SATUAN'!$C$7:$C$1495,0),0)))</f>
        <v>Bh</v>
      </c>
      <c r="F57" s="724">
        <f>F52*4</f>
        <v>8</v>
      </c>
      <c r="G57" s="307">
        <f ca="1">IF(ISERROR(OFFSET('HARGA SATUAN'!$I$6,MATCH(RAB!C57,'HARGA SATUAN'!$C$7:$C$1495,0),0)),0,OFFSET('HARGA SATUAN'!$I$6,MATCH(RAB!C57,'HARGA SATUAN'!$C$7:$C$1495,0),0))</f>
        <v>7938</v>
      </c>
      <c r="H57" s="308">
        <f t="shared" ca="1" si="4"/>
        <v>0</v>
      </c>
      <c r="I57" s="308">
        <f t="shared" ca="1" si="5"/>
        <v>63504</v>
      </c>
      <c r="J57" s="308">
        <f t="shared" ca="1" si="6"/>
        <v>0</v>
      </c>
      <c r="K57" s="309">
        <f t="shared" ca="1" si="7"/>
        <v>63504</v>
      </c>
      <c r="L57" s="289"/>
      <c r="M57" s="289"/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722">
        <v>6</v>
      </c>
      <c r="C58" s="723" t="s">
        <v>173</v>
      </c>
      <c r="D58" s="305" t="str">
        <f ca="1">IF(ISERROR(OFFSET('HARGA SATUAN'!$D$6,MATCH(RAB!C58,'HARGA SATUAN'!$C$7:$C$1495,0),0)),"",OFFSET('HARGA SATUAN'!$D$6,MATCH(RAB!C58,'HARGA SATUAN'!$C$7:$C$1495,0),0))</f>
        <v>HDW</v>
      </c>
      <c r="E58" s="306" t="str">
        <f ca="1">IF(B58="+","Unit",IF(ISERROR(OFFSET('HARGA SATUAN'!$E$6,MATCH(RAB!C58,'HARGA SATUAN'!$C$7:$C$1495,0),0)),"",OFFSET('HARGA SATUAN'!$E$6,MATCH(RAB!C58,'HARGA SATUAN'!$C$7:$C$1495,0),0)))</f>
        <v>Bh</v>
      </c>
      <c r="F58" s="724">
        <f>F52*4</f>
        <v>8</v>
      </c>
      <c r="G58" s="307">
        <f ca="1">IF(ISERROR(OFFSET('HARGA SATUAN'!$I$6,MATCH(RAB!C58,'HARGA SATUAN'!$C$7:$C$1495,0),0)),0,OFFSET('HARGA SATUAN'!$I$6,MATCH(RAB!C58,'HARGA SATUAN'!$C$7:$C$1495,0),0))</f>
        <v>45000</v>
      </c>
      <c r="H58" s="308">
        <f t="shared" ca="1" si="4"/>
        <v>0</v>
      </c>
      <c r="I58" s="308">
        <f t="shared" ca="1" si="5"/>
        <v>360000</v>
      </c>
      <c r="J58" s="308">
        <f t="shared" ca="1" si="6"/>
        <v>0</v>
      </c>
      <c r="K58" s="309">
        <f t="shared" ca="1" si="7"/>
        <v>360000</v>
      </c>
      <c r="L58" s="289"/>
      <c r="M58" s="289"/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722">
        <v>7</v>
      </c>
      <c r="C59" s="723" t="s">
        <v>179</v>
      </c>
      <c r="D59" s="305" t="str">
        <f ca="1">IF(ISERROR(OFFSET('HARGA SATUAN'!$D$6,MATCH(RAB!C59,'HARGA SATUAN'!$C$7:$C$1495,0),0)),"",OFFSET('HARGA SATUAN'!$D$6,MATCH(RAB!C59,'HARGA SATUAN'!$C$7:$C$1495,0),0))</f>
        <v>HDW</v>
      </c>
      <c r="E59" s="306" t="str">
        <f ca="1">IF(B59="+","Unit",IF(ISERROR(OFFSET('HARGA SATUAN'!$E$6,MATCH(RAB!C59,'HARGA SATUAN'!$C$7:$C$1495,0),0)),"",OFFSET('HARGA SATUAN'!$E$6,MATCH(RAB!C59,'HARGA SATUAN'!$C$7:$C$1495,0),0)))</f>
        <v>Bh</v>
      </c>
      <c r="F59" s="724">
        <f>F52*1</f>
        <v>2</v>
      </c>
      <c r="G59" s="307">
        <f ca="1">IF(ISERROR(OFFSET('HARGA SATUAN'!$I$6,MATCH(RAB!C59,'HARGA SATUAN'!$C$7:$C$1495,0),0)),0,OFFSET('HARGA SATUAN'!$I$6,MATCH(RAB!C59,'HARGA SATUAN'!$C$7:$C$1495,0),0))</f>
        <v>15500</v>
      </c>
      <c r="H59" s="308">
        <f t="shared" ca="1" si="4"/>
        <v>0</v>
      </c>
      <c r="I59" s="308">
        <f t="shared" ca="1" si="5"/>
        <v>31000</v>
      </c>
      <c r="J59" s="308">
        <f t="shared" ca="1" si="6"/>
        <v>0</v>
      </c>
      <c r="K59" s="309">
        <f t="shared" ca="1" si="7"/>
        <v>31000</v>
      </c>
      <c r="L59" s="289"/>
      <c r="M59" s="289"/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>
      <c r="A60" s="283"/>
      <c r="B60" s="722">
        <v>8</v>
      </c>
      <c r="C60" s="723" t="s">
        <v>593</v>
      </c>
      <c r="D60" s="305" t="str">
        <f ca="1">IF(ISERROR(OFFSET('HARGA SATUAN'!$D$6,MATCH(RAB!C60,'HARGA SATUAN'!$C$7:$C$1495,0),0)),"",OFFSET('HARGA SATUAN'!$D$6,MATCH(RAB!C60,'HARGA SATUAN'!$C$7:$C$1495,0),0))</f>
        <v>HDW</v>
      </c>
      <c r="E60" s="306" t="str">
        <f ca="1">IF(B60="+","Unit",IF(ISERROR(OFFSET('HARGA SATUAN'!$E$6,MATCH(RAB!C60,'HARGA SATUAN'!$C$7:$C$1495,0),0)),"",OFFSET('HARGA SATUAN'!$E$6,MATCH(RAB!C60,'HARGA SATUAN'!$C$7:$C$1495,0),0)))</f>
        <v>Bh</v>
      </c>
      <c r="F60" s="724">
        <f>F52*2</f>
        <v>4</v>
      </c>
      <c r="G60" s="307">
        <f ca="1">IF(ISERROR(OFFSET('HARGA SATUAN'!$I$6,MATCH(RAB!C60,'HARGA SATUAN'!$C$7:$C$1495,0),0)),0,OFFSET('HARGA SATUAN'!$I$6,MATCH(RAB!C60,'HARGA SATUAN'!$C$7:$C$1495,0),0))</f>
        <v>380500</v>
      </c>
      <c r="H60" s="308">
        <f t="shared" ca="1" si="4"/>
        <v>0</v>
      </c>
      <c r="I60" s="308">
        <f t="shared" ca="1" si="5"/>
        <v>1522000</v>
      </c>
      <c r="J60" s="308">
        <f t="shared" ca="1" si="6"/>
        <v>0</v>
      </c>
      <c r="K60" s="309">
        <f t="shared" ca="1" si="7"/>
        <v>1522000</v>
      </c>
      <c r="L60" s="289"/>
      <c r="M60" s="289"/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722">
        <v>9</v>
      </c>
      <c r="C61" s="723" t="s">
        <v>217</v>
      </c>
      <c r="D61" s="305" t="str">
        <f ca="1">IF(ISERROR(OFFSET('HARGA SATUAN'!$D$6,MATCH(RAB!C61,'HARGA SATUAN'!$C$7:$C$1495,0),0)),"",OFFSET('HARGA SATUAN'!$D$6,MATCH(RAB!C61,'HARGA SATUAN'!$C$7:$C$1495,0),0))</f>
        <v>HDW</v>
      </c>
      <c r="E61" s="306" t="str">
        <f ca="1">IF(B61="+","Unit",IF(ISERROR(OFFSET('HARGA SATUAN'!$E$6,MATCH(RAB!C61,'HARGA SATUAN'!$C$7:$C$1495,0),0)),"",OFFSET('HARGA SATUAN'!$E$6,MATCH(RAB!C61,'HARGA SATUAN'!$C$7:$C$1495,0),0)))</f>
        <v>Bh</v>
      </c>
      <c r="F61" s="724">
        <f>F52*4</f>
        <v>8</v>
      </c>
      <c r="G61" s="307">
        <f ca="1">IF(ISERROR(OFFSET('HARGA SATUAN'!$I$6,MATCH(RAB!C61,'HARGA SATUAN'!$C$7:$C$1495,0),0)),0,OFFSET('HARGA SATUAN'!$I$6,MATCH(RAB!C61,'HARGA SATUAN'!$C$7:$C$1495,0),0))</f>
        <v>11400</v>
      </c>
      <c r="H61" s="308">
        <f t="shared" ca="1" si="4"/>
        <v>0</v>
      </c>
      <c r="I61" s="308">
        <f t="shared" ca="1" si="5"/>
        <v>91200</v>
      </c>
      <c r="J61" s="308">
        <f t="shared" ca="1" si="6"/>
        <v>0</v>
      </c>
      <c r="K61" s="309">
        <f t="shared" ca="1" si="7"/>
        <v>91200</v>
      </c>
      <c r="L61" s="289"/>
      <c r="M61" s="289"/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722">
        <v>10</v>
      </c>
      <c r="C62" s="723" t="s">
        <v>218</v>
      </c>
      <c r="D62" s="305" t="str">
        <f ca="1">IF(ISERROR(OFFSET('HARGA SATUAN'!$D$6,MATCH(RAB!C62,'HARGA SATUAN'!$C$7:$C$1495,0),0)),"",OFFSET('HARGA SATUAN'!$D$6,MATCH(RAB!C62,'HARGA SATUAN'!$C$7:$C$1495,0),0))</f>
        <v>HDW</v>
      </c>
      <c r="E62" s="306" t="str">
        <f ca="1">IF(B62="+","Unit",IF(ISERROR(OFFSET('HARGA SATUAN'!$E$6,MATCH(RAB!C62,'HARGA SATUAN'!$C$7:$C$1495,0),0)),"",OFFSET('HARGA SATUAN'!$E$6,MATCH(RAB!C62,'HARGA SATUAN'!$C$7:$C$1495,0),0)))</f>
        <v>Bh</v>
      </c>
      <c r="F62" s="724">
        <f>F52*2</f>
        <v>4</v>
      </c>
      <c r="G62" s="307">
        <f ca="1">IF(ISERROR(OFFSET('HARGA SATUAN'!$I$6,MATCH(RAB!C62,'HARGA SATUAN'!$C$7:$C$1495,0),0)),0,OFFSET('HARGA SATUAN'!$I$6,MATCH(RAB!C62,'HARGA SATUAN'!$C$7:$C$1495,0),0))</f>
        <v>29600</v>
      </c>
      <c r="H62" s="308">
        <f t="shared" ca="1" si="4"/>
        <v>0</v>
      </c>
      <c r="I62" s="308">
        <f t="shared" ca="1" si="5"/>
        <v>118400</v>
      </c>
      <c r="J62" s="308">
        <f t="shared" ca="1" si="6"/>
        <v>0</v>
      </c>
      <c r="K62" s="309">
        <f t="shared" ca="1" si="7"/>
        <v>118400</v>
      </c>
      <c r="L62" s="289"/>
      <c r="M62" s="289"/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722">
        <v>11</v>
      </c>
      <c r="C63" s="723" t="s">
        <v>223</v>
      </c>
      <c r="D63" s="305" t="str">
        <f ca="1">IF(ISERROR(OFFSET('HARGA SATUAN'!$D$6,MATCH(RAB!C63,'HARGA SATUAN'!$C$7:$C$1495,0),0)),"",OFFSET('HARGA SATUAN'!$D$6,MATCH(RAB!C63,'HARGA SATUAN'!$C$7:$C$1495,0),0))</f>
        <v>HDW</v>
      </c>
      <c r="E63" s="306" t="str">
        <f ca="1">IF(B63="+","Unit",IF(ISERROR(OFFSET('HARGA SATUAN'!$E$6,MATCH(RAB!C63,'HARGA SATUAN'!$C$7:$C$1495,0),0)),"",OFFSET('HARGA SATUAN'!$E$6,MATCH(RAB!C63,'HARGA SATUAN'!$C$7:$C$1495,0),0)))</f>
        <v>Bh</v>
      </c>
      <c r="F63" s="724">
        <f>F52*1</f>
        <v>2</v>
      </c>
      <c r="G63" s="307">
        <f ca="1">IF(ISERROR(OFFSET('HARGA SATUAN'!$I$6,MATCH(RAB!C63,'HARGA SATUAN'!$C$7:$C$1495,0),0)),0,OFFSET('HARGA SATUAN'!$I$6,MATCH(RAB!C63,'HARGA SATUAN'!$C$7:$C$1495,0),0))</f>
        <v>27815</v>
      </c>
      <c r="H63" s="308">
        <f t="shared" ca="1" si="4"/>
        <v>0</v>
      </c>
      <c r="I63" s="308">
        <f t="shared" ca="1" si="5"/>
        <v>55630</v>
      </c>
      <c r="J63" s="308">
        <f t="shared" ca="1" si="6"/>
        <v>0</v>
      </c>
      <c r="K63" s="309">
        <f t="shared" ca="1" si="7"/>
        <v>55630</v>
      </c>
      <c r="L63" s="289"/>
      <c r="M63" s="289"/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722">
        <v>12</v>
      </c>
      <c r="C64" s="723" t="s">
        <v>25</v>
      </c>
      <c r="D64" s="305" t="str">
        <f ca="1">IF(ISERROR(OFFSET('HARGA SATUAN'!$D$6,MATCH(RAB!C64,'HARGA SATUAN'!$C$7:$C$1495,0),0)),"",OFFSET('HARGA SATUAN'!$D$6,MATCH(RAB!C64,'HARGA SATUAN'!$C$7:$C$1495,0),0))</f>
        <v>HDW</v>
      </c>
      <c r="E64" s="306" t="str">
        <f ca="1">IF(B64="+","Unit",IF(ISERROR(OFFSET('HARGA SATUAN'!$E$6,MATCH(RAB!C64,'HARGA SATUAN'!$C$7:$C$1495,0),0)),"",OFFSET('HARGA SATUAN'!$E$6,MATCH(RAB!C64,'HARGA SATUAN'!$C$7:$C$1495,0),0)))</f>
        <v>Bh</v>
      </c>
      <c r="F64" s="724">
        <f>F52*3</f>
        <v>6</v>
      </c>
      <c r="G64" s="307">
        <f ca="1">IF(ISERROR(OFFSET('HARGA SATUAN'!$I$6,MATCH(RAB!C64,'HARGA SATUAN'!$C$7:$C$1495,0),0)),0,OFFSET('HARGA SATUAN'!$I$6,MATCH(RAB!C64,'HARGA SATUAN'!$C$7:$C$1495,0),0))</f>
        <v>23936</v>
      </c>
      <c r="H64" s="308">
        <f t="shared" ca="1" si="4"/>
        <v>0</v>
      </c>
      <c r="I64" s="308">
        <f t="shared" ca="1" si="5"/>
        <v>143616</v>
      </c>
      <c r="J64" s="308">
        <f t="shared" ca="1" si="6"/>
        <v>0</v>
      </c>
      <c r="K64" s="309">
        <f t="shared" ca="1" si="7"/>
        <v>143616</v>
      </c>
      <c r="L64" s="289"/>
      <c r="M64" s="289"/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>
      <c r="A65" s="283"/>
      <c r="B65" s="722">
        <v>13</v>
      </c>
      <c r="C65" s="723" t="s">
        <v>37</v>
      </c>
      <c r="D65" s="305" t="str">
        <f ca="1">IF(ISERROR(OFFSET('HARGA SATUAN'!$D$6,MATCH(RAB!C65,'HARGA SATUAN'!$C$7:$C$1495,0),0)),"",OFFSET('HARGA SATUAN'!$D$6,MATCH(RAB!C65,'HARGA SATUAN'!$C$7:$C$1495,0),0))</f>
        <v>HDW</v>
      </c>
      <c r="E65" s="306" t="str">
        <f ca="1">IF(B65="+","Unit",IF(ISERROR(OFFSET('HARGA SATUAN'!$E$6,MATCH(RAB!C65,'HARGA SATUAN'!$C$7:$C$1495,0),0)),"",OFFSET('HARGA SATUAN'!$E$6,MATCH(RAB!C65,'HARGA SATUAN'!$C$7:$C$1495,0),0)))</f>
        <v>Bh</v>
      </c>
      <c r="F65" s="724">
        <f>F52*1</f>
        <v>2</v>
      </c>
      <c r="G65" s="307">
        <f ca="1">IF(ISERROR(OFFSET('HARGA SATUAN'!$I$6,MATCH(RAB!C65,'HARGA SATUAN'!$C$7:$C$1495,0),0)),0,OFFSET('HARGA SATUAN'!$I$6,MATCH(RAB!C65,'HARGA SATUAN'!$C$7:$C$1495,0),0))</f>
        <v>63500</v>
      </c>
      <c r="H65" s="308">
        <f t="shared" ca="1" si="4"/>
        <v>0</v>
      </c>
      <c r="I65" s="308">
        <f t="shared" ca="1" si="5"/>
        <v>127000</v>
      </c>
      <c r="J65" s="308">
        <f t="shared" ca="1" si="6"/>
        <v>0</v>
      </c>
      <c r="K65" s="309">
        <f t="shared" ca="1" si="7"/>
        <v>127000</v>
      </c>
      <c r="L65" s="289"/>
      <c r="M65" s="289"/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722">
        <v>14</v>
      </c>
      <c r="C66" s="723" t="s">
        <v>247</v>
      </c>
      <c r="D66" s="305" t="str">
        <f ca="1">IF(ISERROR(OFFSET('HARGA SATUAN'!$D$6,MATCH(RAB!C66,'HARGA SATUAN'!$C$7:$C$1495,0),0)),"",OFFSET('HARGA SATUAN'!$D$6,MATCH(RAB!C66,'HARGA SATUAN'!$C$7:$C$1495,0),0))</f>
        <v>HDW</v>
      </c>
      <c r="E66" s="306" t="str">
        <f ca="1">IF(B66="+","Unit",IF(ISERROR(OFFSET('HARGA SATUAN'!$E$6,MATCH(RAB!C66,'HARGA SATUAN'!$C$7:$C$1495,0),0)),"",OFFSET('HARGA SATUAN'!$E$6,MATCH(RAB!C66,'HARGA SATUAN'!$C$7:$C$1495,0),0)))</f>
        <v>Bh</v>
      </c>
      <c r="F66" s="724">
        <f>F52*1</f>
        <v>2</v>
      </c>
      <c r="G66" s="307">
        <f ca="1">IF(ISERROR(OFFSET('HARGA SATUAN'!$I$6,MATCH(RAB!C66,'HARGA SATUAN'!$C$7:$C$1495,0),0)),0,OFFSET('HARGA SATUAN'!$I$6,MATCH(RAB!C66,'HARGA SATUAN'!$C$7:$C$1495,0),0))</f>
        <v>57690</v>
      </c>
      <c r="H66" s="308">
        <f t="shared" ca="1" si="4"/>
        <v>0</v>
      </c>
      <c r="I66" s="308">
        <f t="shared" ca="1" si="5"/>
        <v>115380</v>
      </c>
      <c r="J66" s="308">
        <f t="shared" ca="1" si="6"/>
        <v>0</v>
      </c>
      <c r="K66" s="309">
        <f t="shared" ca="1" si="7"/>
        <v>115380</v>
      </c>
      <c r="L66" s="289"/>
      <c r="M66" s="289"/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722">
        <v>15</v>
      </c>
      <c r="C67" s="723" t="s">
        <v>27</v>
      </c>
      <c r="D67" s="305" t="str">
        <f ca="1">IF(ISERROR(OFFSET('HARGA SATUAN'!$D$6,MATCH(RAB!C67,'HARGA SATUAN'!$C$7:$C$1495,0),0)),"",OFFSET('HARGA SATUAN'!$D$6,MATCH(RAB!C67,'HARGA SATUAN'!$C$7:$C$1495,0),0))</f>
        <v>HDW</v>
      </c>
      <c r="E67" s="306" t="str">
        <f ca="1">IF(B67="+","Unit",IF(ISERROR(OFFSET('HARGA SATUAN'!$E$6,MATCH(RAB!C67,'HARGA SATUAN'!$C$7:$C$1495,0),0)),"",OFFSET('HARGA SATUAN'!$E$6,MATCH(RAB!C67,'HARGA SATUAN'!$C$7:$C$1495,0),0)))</f>
        <v>Bh</v>
      </c>
      <c r="F67" s="724">
        <f>F52*3</f>
        <v>6</v>
      </c>
      <c r="G67" s="307">
        <f ca="1">IF(ISERROR(OFFSET('HARGA SATUAN'!$I$6,MATCH(RAB!C67,'HARGA SATUAN'!$C$7:$C$1495,0),0)),0,OFFSET('HARGA SATUAN'!$I$6,MATCH(RAB!C67,'HARGA SATUAN'!$C$7:$C$1495,0),0))</f>
        <v>16000</v>
      </c>
      <c r="H67" s="308">
        <f t="shared" ca="1" si="4"/>
        <v>0</v>
      </c>
      <c r="I67" s="308">
        <f t="shared" ca="1" si="5"/>
        <v>96000</v>
      </c>
      <c r="J67" s="308">
        <f t="shared" ca="1" si="6"/>
        <v>0</v>
      </c>
      <c r="K67" s="309">
        <f t="shared" ca="1" si="7"/>
        <v>96000</v>
      </c>
      <c r="L67" s="289"/>
      <c r="M67" s="289"/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722">
        <v>16</v>
      </c>
      <c r="C68" s="723" t="s">
        <v>265</v>
      </c>
      <c r="D68" s="305" t="str">
        <f ca="1">IF(ISERROR(OFFSET('HARGA SATUAN'!$D$6,MATCH(RAB!C68,'HARGA SATUAN'!$C$7:$C$1495,0),0)),"",OFFSET('HARGA SATUAN'!$D$6,MATCH(RAB!C68,'HARGA SATUAN'!$C$7:$C$1495,0),0))</f>
        <v>HDW</v>
      </c>
      <c r="E68" s="306" t="str">
        <f ca="1">IF(B68="+","Unit",IF(ISERROR(OFFSET('HARGA SATUAN'!$E$6,MATCH(RAB!C68,'HARGA SATUAN'!$C$7:$C$1495,0),0)),"",OFFSET('HARGA SATUAN'!$E$6,MATCH(RAB!C68,'HARGA SATUAN'!$C$7:$C$1495,0),0)))</f>
        <v>Bh</v>
      </c>
      <c r="F68" s="724">
        <f>F52*1</f>
        <v>2</v>
      </c>
      <c r="G68" s="307">
        <f ca="1">IF(ISERROR(OFFSET('HARGA SATUAN'!$I$6,MATCH(RAB!C68,'HARGA SATUAN'!$C$7:$C$1495,0),0)),0,OFFSET('HARGA SATUAN'!$I$6,MATCH(RAB!C68,'HARGA SATUAN'!$C$7:$C$1495,0),0))</f>
        <v>33501.866666666669</v>
      </c>
      <c r="H68" s="308">
        <f t="shared" ca="1" si="4"/>
        <v>0</v>
      </c>
      <c r="I68" s="308">
        <f t="shared" ca="1" si="5"/>
        <v>67003.733333333337</v>
      </c>
      <c r="J68" s="308">
        <f t="shared" ca="1" si="6"/>
        <v>0</v>
      </c>
      <c r="K68" s="309">
        <f t="shared" ca="1" si="7"/>
        <v>67003.733333333337</v>
      </c>
      <c r="L68" s="289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722">
        <v>17</v>
      </c>
      <c r="C69" s="723" t="s">
        <v>26</v>
      </c>
      <c r="D69" s="305" t="str">
        <f ca="1">IF(ISERROR(OFFSET('HARGA SATUAN'!$D$6,MATCH(RAB!C69,'HARGA SATUAN'!$C$7:$C$1495,0),0)),"",OFFSET('HARGA SATUAN'!$D$6,MATCH(RAB!C69,'HARGA SATUAN'!$C$7:$C$1495,0),0))</f>
        <v>HDW</v>
      </c>
      <c r="E69" s="306" t="str">
        <f ca="1">IF(B69="+","Unit",IF(ISERROR(OFFSET('HARGA SATUAN'!$E$6,MATCH(RAB!C69,'HARGA SATUAN'!$C$7:$C$1495,0),0)),"",OFFSET('HARGA SATUAN'!$E$6,MATCH(RAB!C69,'HARGA SATUAN'!$C$7:$C$1495,0),0)))</f>
        <v>Bh</v>
      </c>
      <c r="F69" s="724">
        <f>F52*11</f>
        <v>22</v>
      </c>
      <c r="G69" s="307">
        <f ca="1">IF(ISERROR(OFFSET('HARGA SATUAN'!$I$6,MATCH(RAB!C69,'HARGA SATUAN'!$C$7:$C$1495,0),0)),0,OFFSET('HARGA SATUAN'!$I$6,MATCH(RAB!C69,'HARGA SATUAN'!$C$7:$C$1495,0),0))</f>
        <v>2500</v>
      </c>
      <c r="H69" s="308">
        <f t="shared" ca="1" si="4"/>
        <v>0</v>
      </c>
      <c r="I69" s="308">
        <f t="shared" ca="1" si="5"/>
        <v>55000</v>
      </c>
      <c r="J69" s="308">
        <f t="shared" ca="1" si="6"/>
        <v>0</v>
      </c>
      <c r="K69" s="309">
        <f t="shared" ca="1" si="7"/>
        <v>55000</v>
      </c>
      <c r="L69" s="289"/>
      <c r="M69" s="289"/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722">
        <v>18</v>
      </c>
      <c r="C70" s="723" t="s">
        <v>703</v>
      </c>
      <c r="D70" s="305" t="str">
        <f ca="1">IF(ISERROR(OFFSET('HARGA SATUAN'!$D$6,MATCH(RAB!C70,'HARGA SATUAN'!$C$7:$C$1495,0),0)),"",OFFSET('HARGA SATUAN'!$D$6,MATCH(RAB!C70,'HARGA SATUAN'!$C$7:$C$1495,0),0))</f>
        <v>JASA</v>
      </c>
      <c r="E70" s="306" t="str">
        <f ca="1">IF(B70="+","Unit",IF(ISERROR(OFFSET('HARGA SATUAN'!$E$6,MATCH(RAB!C70,'HARGA SATUAN'!$C$7:$C$1495,0),0)),"",OFFSET('HARGA SATUAN'!$E$6,MATCH(RAB!C70,'HARGA SATUAN'!$C$7:$C$1495,0),0)))</f>
        <v>Unit</v>
      </c>
      <c r="F70" s="724">
        <f>F52*1</f>
        <v>2</v>
      </c>
      <c r="G70" s="307">
        <f ca="1">IF(ISERROR(OFFSET('HARGA SATUAN'!$I$6,MATCH(RAB!C70,'HARGA SATUAN'!$C$7:$C$1495,0),0)),0,OFFSET('HARGA SATUAN'!$I$6,MATCH(RAB!C70,'HARGA SATUAN'!$C$7:$C$1495,0),0))</f>
        <v>134700</v>
      </c>
      <c r="H70" s="308">
        <f t="shared" ca="1" si="4"/>
        <v>0</v>
      </c>
      <c r="I70" s="308">
        <f t="shared" ca="1" si="5"/>
        <v>0</v>
      </c>
      <c r="J70" s="308">
        <f t="shared" ca="1" si="6"/>
        <v>269400</v>
      </c>
      <c r="K70" s="309">
        <f t="shared" ca="1" si="7"/>
        <v>269400</v>
      </c>
      <c r="L70" s="289"/>
      <c r="M70" s="289"/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514"/>
      <c r="C71" s="520"/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/>
      </c>
      <c r="F71" s="451"/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4"/>
        <v>0</v>
      </c>
      <c r="I71" s="308">
        <f t="shared" ca="1" si="5"/>
        <v>0</v>
      </c>
      <c r="J71" s="308">
        <f t="shared" ca="1" si="6"/>
        <v>0</v>
      </c>
      <c r="K71" s="309">
        <f t="shared" ca="1" si="7"/>
        <v>0</v>
      </c>
      <c r="L71" s="289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722" t="s">
        <v>1035</v>
      </c>
      <c r="C72" s="723" t="s">
        <v>1637</v>
      </c>
      <c r="D72" s="305" t="str">
        <f ca="1">IF(ISERROR(OFFSET('HARGA SATUAN'!$D$6,MATCH(RAB!C72,'HARGA SATUAN'!$C$7:$C$1495,0),0)),"",OFFSET('HARGA SATUAN'!$D$6,MATCH(RAB!C72,'HARGA SATUAN'!$C$7:$C$1495,0),0))</f>
        <v/>
      </c>
      <c r="E72" s="306" t="str">
        <f ca="1">IF(B72="+","Unit",IF(ISERROR(OFFSET('HARGA SATUAN'!$E$6,MATCH(RAB!C72,'HARGA SATUAN'!$C$7:$C$1495,0),0)),"",OFFSET('HARGA SATUAN'!$E$6,MATCH(RAB!C72,'HARGA SATUAN'!$C$7:$C$1495,0),0)))</f>
        <v>Unit</v>
      </c>
      <c r="F72" s="451">
        <v>1</v>
      </c>
      <c r="G72" s="307">
        <f ca="1">IF(ISERROR(OFFSET('HARGA SATUAN'!$I$6,MATCH(RAB!C72,'HARGA SATUAN'!$C$7:$C$1495,0),0)),0,OFFSET('HARGA SATUAN'!$I$6,MATCH(RAB!C72,'HARGA SATUAN'!$C$7:$C$1495,0),0))</f>
        <v>0</v>
      </c>
      <c r="H72" s="308">
        <f t="shared" ca="1" si="4"/>
        <v>0</v>
      </c>
      <c r="I72" s="308">
        <f t="shared" ca="1" si="5"/>
        <v>0</v>
      </c>
      <c r="J72" s="308">
        <f t="shared" ca="1" si="6"/>
        <v>0</v>
      </c>
      <c r="K72" s="309">
        <f t="shared" ca="1" si="7"/>
        <v>0</v>
      </c>
      <c r="L72" s="289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722">
        <v>1</v>
      </c>
      <c r="C73" s="723" t="s">
        <v>28</v>
      </c>
      <c r="D73" s="305" t="str">
        <f ca="1">IF(ISERROR(OFFSET('HARGA SATUAN'!$D$6,MATCH(RAB!C73,'HARGA SATUAN'!$C$7:$C$1495,0),0)),"",OFFSET('HARGA SATUAN'!$D$6,MATCH(RAB!C73,'HARGA SATUAN'!$C$7:$C$1495,0),0))</f>
        <v>HDW</v>
      </c>
      <c r="E73" s="306" t="str">
        <f ca="1">IF(B73="+","Unit",IF(ISERROR(OFFSET('HARGA SATUAN'!$E$6,MATCH(RAB!C73,'HARGA SATUAN'!$C$7:$C$1495,0),0)),"",OFFSET('HARGA SATUAN'!$E$6,MATCH(RAB!C73,'HARGA SATUAN'!$C$7:$C$1495,0),0)))</f>
        <v>Bh</v>
      </c>
      <c r="F73" s="451">
        <f>F72*1</f>
        <v>1</v>
      </c>
      <c r="G73" s="307">
        <f ca="1">IF(ISERROR(OFFSET('HARGA SATUAN'!$I$6,MATCH(RAB!C73,'HARGA SATUAN'!$C$7:$C$1495,0),0)),0,OFFSET('HARGA SATUAN'!$I$6,MATCH(RAB!C73,'HARGA SATUAN'!$C$7:$C$1495,0),0))</f>
        <v>26500</v>
      </c>
      <c r="H73" s="308">
        <f t="shared" ca="1" si="4"/>
        <v>0</v>
      </c>
      <c r="I73" s="308">
        <f t="shared" ca="1" si="5"/>
        <v>26500</v>
      </c>
      <c r="J73" s="308">
        <f t="shared" ca="1" si="6"/>
        <v>0</v>
      </c>
      <c r="K73" s="309">
        <f t="shared" ca="1" si="7"/>
        <v>26500</v>
      </c>
      <c r="L73" s="289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722">
        <v>2</v>
      </c>
      <c r="C74" s="723" t="s">
        <v>203</v>
      </c>
      <c r="D74" s="305" t="str">
        <f ca="1">IF(ISERROR(OFFSET('HARGA SATUAN'!$D$6,MATCH(RAB!C74,'HARGA SATUAN'!$C$7:$C$1495,0),0)),"",OFFSET('HARGA SATUAN'!$D$6,MATCH(RAB!C74,'HARGA SATUAN'!$C$7:$C$1495,0),0))</f>
        <v>HDW</v>
      </c>
      <c r="E74" s="306" t="str">
        <f ca="1">IF(B74="+","Unit",IF(ISERROR(OFFSET('HARGA SATUAN'!$E$6,MATCH(RAB!C74,'HARGA SATUAN'!$C$7:$C$1495,0),0)),"",OFFSET('HARGA SATUAN'!$E$6,MATCH(RAB!C74,'HARGA SATUAN'!$C$7:$C$1495,0),0)))</f>
        <v>Bh</v>
      </c>
      <c r="F74" s="451">
        <f>F72*1</f>
        <v>1</v>
      </c>
      <c r="G74" s="307">
        <f ca="1">IF(ISERROR(OFFSET('HARGA SATUAN'!$I$6,MATCH(RAB!C74,'HARGA SATUAN'!$C$7:$C$1495,0),0)),0,OFFSET('HARGA SATUAN'!$I$6,MATCH(RAB!C74,'HARGA SATUAN'!$C$7:$C$1495,0),0))</f>
        <v>12500</v>
      </c>
      <c r="H74" s="308">
        <f t="shared" ca="1" si="4"/>
        <v>0</v>
      </c>
      <c r="I74" s="308">
        <f t="shared" ca="1" si="5"/>
        <v>12500</v>
      </c>
      <c r="J74" s="308">
        <f t="shared" ca="1" si="6"/>
        <v>0</v>
      </c>
      <c r="K74" s="309">
        <f t="shared" ca="1" si="7"/>
        <v>12500</v>
      </c>
      <c r="L74" s="289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722">
        <v>3</v>
      </c>
      <c r="C75" s="723" t="s">
        <v>206</v>
      </c>
      <c r="D75" s="305" t="str">
        <f ca="1">IF(ISERROR(OFFSET('HARGA SATUAN'!$D$6,MATCH(RAB!C75,'HARGA SATUAN'!$C$7:$C$1495,0),0)),"",OFFSET('HARGA SATUAN'!$D$6,MATCH(RAB!C75,'HARGA SATUAN'!$C$7:$C$1495,0),0))</f>
        <v>HDW</v>
      </c>
      <c r="E75" s="306" t="str">
        <f ca="1">IF(B75="+","Unit",IF(ISERROR(OFFSET('HARGA SATUAN'!$E$6,MATCH(RAB!C75,'HARGA SATUAN'!$C$7:$C$1495,0),0)),"",OFFSET('HARGA SATUAN'!$E$6,MATCH(RAB!C75,'HARGA SATUAN'!$C$7:$C$1495,0),0)))</f>
        <v>Mtr</v>
      </c>
      <c r="F75" s="451">
        <f>F72*12</f>
        <v>12</v>
      </c>
      <c r="G75" s="307">
        <f ca="1">IF(ISERROR(OFFSET('HARGA SATUAN'!$I$6,MATCH(RAB!C75,'HARGA SATUAN'!$C$7:$C$1495,0),0)),0,OFFSET('HARGA SATUAN'!$I$6,MATCH(RAB!C75,'HARGA SATUAN'!$C$7:$C$1495,0),0))</f>
        <v>39204</v>
      </c>
      <c r="H75" s="308">
        <f t="shared" ca="1" si="4"/>
        <v>0</v>
      </c>
      <c r="I75" s="308">
        <f t="shared" ca="1" si="5"/>
        <v>470448</v>
      </c>
      <c r="J75" s="308">
        <f t="shared" ca="1" si="6"/>
        <v>0</v>
      </c>
      <c r="K75" s="309">
        <f t="shared" ca="1" si="7"/>
        <v>470448</v>
      </c>
      <c r="L75" s="289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722">
        <v>4</v>
      </c>
      <c r="C76" s="723" t="s">
        <v>287</v>
      </c>
      <c r="D76" s="305" t="str">
        <f ca="1">IF(ISERROR(OFFSET('HARGA SATUAN'!$D$6,MATCH(RAB!C76,'HARGA SATUAN'!$C$7:$C$1495,0),0)),"",OFFSET('HARGA SATUAN'!$D$6,MATCH(RAB!C76,'HARGA SATUAN'!$C$7:$C$1495,0),0))</f>
        <v>HDW</v>
      </c>
      <c r="E76" s="306" t="str">
        <f ca="1">IF(B76="+","Unit",IF(ISERROR(OFFSET('HARGA SATUAN'!$E$6,MATCH(RAB!C76,'HARGA SATUAN'!$C$7:$C$1495,0),0)),"",OFFSET('HARGA SATUAN'!$E$6,MATCH(RAB!C76,'HARGA SATUAN'!$C$7:$C$1495,0),0)))</f>
        <v>Bh</v>
      </c>
      <c r="F76" s="451">
        <f>F72*2</f>
        <v>2</v>
      </c>
      <c r="G76" s="307">
        <f ca="1">IF(ISERROR(OFFSET('HARGA SATUAN'!$I$6,MATCH(RAB!C76,'HARGA SATUAN'!$C$7:$C$1495,0),0)),0,OFFSET('HARGA SATUAN'!$I$6,MATCH(RAB!C76,'HARGA SATUAN'!$C$7:$C$1495,0),0))</f>
        <v>40000</v>
      </c>
      <c r="H76" s="308">
        <f t="shared" ca="1" si="4"/>
        <v>0</v>
      </c>
      <c r="I76" s="308">
        <f t="shared" ca="1" si="5"/>
        <v>80000</v>
      </c>
      <c r="J76" s="308">
        <f t="shared" ca="1" si="6"/>
        <v>0</v>
      </c>
      <c r="K76" s="309">
        <f t="shared" ca="1" si="7"/>
        <v>80000</v>
      </c>
      <c r="L76" s="289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722">
        <v>5</v>
      </c>
      <c r="C77" s="723" t="s">
        <v>26</v>
      </c>
      <c r="D77" s="305" t="str">
        <f ca="1">IF(ISERROR(OFFSET('HARGA SATUAN'!$D$6,MATCH(RAB!C77,'HARGA SATUAN'!$C$7:$C$1495,0),0)),"",OFFSET('HARGA SATUAN'!$D$6,MATCH(RAB!C77,'HARGA SATUAN'!$C$7:$C$1495,0),0))</f>
        <v>HDW</v>
      </c>
      <c r="E77" s="306" t="str">
        <f ca="1">IF(B77="+","Unit",IF(ISERROR(OFFSET('HARGA SATUAN'!$E$6,MATCH(RAB!C77,'HARGA SATUAN'!$C$7:$C$1495,0),0)),"",OFFSET('HARGA SATUAN'!$E$6,MATCH(RAB!C77,'HARGA SATUAN'!$C$7:$C$1495,0),0)))</f>
        <v>Bh</v>
      </c>
      <c r="F77" s="451">
        <f>F72*1</f>
        <v>1</v>
      </c>
      <c r="G77" s="307">
        <f ca="1">IF(ISERROR(OFFSET('HARGA SATUAN'!$I$6,MATCH(RAB!C77,'HARGA SATUAN'!$C$7:$C$1495,0),0)),0,OFFSET('HARGA SATUAN'!$I$6,MATCH(RAB!C77,'HARGA SATUAN'!$C$7:$C$1495,0),0))</f>
        <v>2500</v>
      </c>
      <c r="H77" s="308">
        <f t="shared" ca="1" si="4"/>
        <v>0</v>
      </c>
      <c r="I77" s="308">
        <f t="shared" ca="1" si="5"/>
        <v>2500</v>
      </c>
      <c r="J77" s="308">
        <f t="shared" ca="1" si="6"/>
        <v>0</v>
      </c>
      <c r="K77" s="309">
        <f t="shared" ca="1" si="7"/>
        <v>2500</v>
      </c>
      <c r="L77" s="289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722">
        <v>6</v>
      </c>
      <c r="C78" s="723" t="s">
        <v>760</v>
      </c>
      <c r="D78" s="305" t="str">
        <f ca="1">IF(ISERROR(OFFSET('HARGA SATUAN'!$D$6,MATCH(RAB!C78,'HARGA SATUAN'!$C$7:$C$1495,0),0)),"",OFFSET('HARGA SATUAN'!$D$6,MATCH(RAB!C78,'HARGA SATUAN'!$C$7:$C$1495,0),0))</f>
        <v>JASA</v>
      </c>
      <c r="E78" s="306" t="str">
        <f ca="1">IF(B78="+","Unit",IF(ISERROR(OFFSET('HARGA SATUAN'!$E$6,MATCH(RAB!C78,'HARGA SATUAN'!$C$7:$C$1495,0),0)),"",OFFSET('HARGA SATUAN'!$E$6,MATCH(RAB!C78,'HARGA SATUAN'!$C$7:$C$1495,0),0)))</f>
        <v>Unit</v>
      </c>
      <c r="F78" s="451">
        <f>F72*1</f>
        <v>1</v>
      </c>
      <c r="G78" s="307">
        <f ca="1">IF(ISERROR(OFFSET('HARGA SATUAN'!$I$6,MATCH(RAB!C78,'HARGA SATUAN'!$C$7:$C$1495,0),0)),0,OFFSET('HARGA SATUAN'!$I$6,MATCH(RAB!C78,'HARGA SATUAN'!$C$7:$C$1495,0),0))</f>
        <v>36600</v>
      </c>
      <c r="H78" s="308">
        <f t="shared" ca="1" si="4"/>
        <v>0</v>
      </c>
      <c r="I78" s="308">
        <f t="shared" ca="1" si="5"/>
        <v>0</v>
      </c>
      <c r="J78" s="308">
        <f t="shared" ca="1" si="6"/>
        <v>36600</v>
      </c>
      <c r="K78" s="309">
        <f t="shared" ca="1" si="7"/>
        <v>36600</v>
      </c>
      <c r="L78" s="289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>
      <c r="A79" s="283"/>
      <c r="B79" s="514"/>
      <c r="C79" s="520"/>
      <c r="D79" s="305" t="str">
        <f ca="1">IF(ISERROR(OFFSET('HARGA SATUAN'!$D$6,MATCH(RAB!C79,'HARGA SATUAN'!$C$7:$C$1495,0),0)),"",OFFSET('HARGA SATUAN'!$D$6,MATCH(RAB!C79,'HARGA SATUAN'!$C$7:$C$1495,0),0))</f>
        <v/>
      </c>
      <c r="E79" s="306" t="str">
        <f ca="1">IF(B79="+","Unit",IF(ISERROR(OFFSET('HARGA SATUAN'!$E$6,MATCH(RAB!C79,'HARGA SATUAN'!$C$7:$C$1495,0),0)),"",OFFSET('HARGA SATUAN'!$E$6,MATCH(RAB!C79,'HARGA SATUAN'!$C$7:$C$1495,0),0)))</f>
        <v/>
      </c>
      <c r="F79" s="451"/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t="shared" ca="1" si="4"/>
        <v>0</v>
      </c>
      <c r="I79" s="308">
        <f t="shared" ca="1" si="5"/>
        <v>0</v>
      </c>
      <c r="J79" s="308">
        <f t="shared" ca="1" si="6"/>
        <v>0</v>
      </c>
      <c r="K79" s="309">
        <f t="shared" ca="1" si="7"/>
        <v>0</v>
      </c>
      <c r="L79" s="289"/>
      <c r="M79" s="289"/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>
      <c r="A80" s="283"/>
      <c r="B80" s="722" t="s">
        <v>1035</v>
      </c>
      <c r="C80" s="723" t="s">
        <v>1638</v>
      </c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>Unit</v>
      </c>
      <c r="F80" s="451">
        <v>1</v>
      </c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ca="1" si="4"/>
        <v>0</v>
      </c>
      <c r="I80" s="308">
        <f t="shared" ca="1" si="5"/>
        <v>0</v>
      </c>
      <c r="J80" s="308">
        <f t="shared" ca="1" si="6"/>
        <v>0</v>
      </c>
      <c r="K80" s="309">
        <f t="shared" ca="1" si="7"/>
        <v>0</v>
      </c>
      <c r="L80" s="289"/>
      <c r="M80" s="289"/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725">
        <v>1</v>
      </c>
      <c r="C81" s="726" t="s">
        <v>597</v>
      </c>
      <c r="D81" s="305" t="str">
        <f ca="1">IF(ISERROR(OFFSET('HARGA SATUAN'!$D$6,MATCH(RAB!C81,'HARGA SATUAN'!$C$7:$C$1495,0),0)),"",OFFSET('HARGA SATUAN'!$D$6,MATCH(RAB!C81,'HARGA SATUAN'!$C$7:$C$1495,0),0))</f>
        <v>HDW</v>
      </c>
      <c r="E81" s="306" t="str">
        <f ca="1">IF(B81="+","Unit",IF(ISERROR(OFFSET('HARGA SATUAN'!$E$6,MATCH(RAB!C81,'HARGA SATUAN'!$C$7:$C$1495,0),0)),"",OFFSET('HARGA SATUAN'!$E$6,MATCH(RAB!C81,'HARGA SATUAN'!$C$7:$C$1495,0),0)))</f>
        <v>Bh</v>
      </c>
      <c r="F81" s="451">
        <f>F80*1</f>
        <v>1</v>
      </c>
      <c r="G81" s="307">
        <f ca="1">IF(ISERROR(OFFSET('HARGA SATUAN'!$I$6,MATCH(RAB!C81,'HARGA SATUAN'!$C$7:$C$1495,0),0)),0,OFFSET('HARGA SATUAN'!$I$6,MATCH(RAB!C81,'HARGA SATUAN'!$C$7:$C$1495,0),0))</f>
        <v>120900</v>
      </c>
      <c r="H81" s="308">
        <f t="shared" ca="1" si="4"/>
        <v>0</v>
      </c>
      <c r="I81" s="308">
        <f t="shared" ca="1" si="5"/>
        <v>120900</v>
      </c>
      <c r="J81" s="308">
        <f t="shared" ca="1" si="6"/>
        <v>0</v>
      </c>
      <c r="K81" s="309">
        <f t="shared" ca="1" si="7"/>
        <v>120900</v>
      </c>
      <c r="L81" s="289"/>
      <c r="M81" s="289"/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>
      <c r="A82" s="283"/>
      <c r="B82" s="516">
        <v>2</v>
      </c>
      <c r="C82" s="518" t="s">
        <v>261</v>
      </c>
      <c r="D82" s="305" t="str">
        <f ca="1">IF(ISERROR(OFFSET('HARGA SATUAN'!$D$6,MATCH(RAB!C82,'HARGA SATUAN'!$C$7:$C$1495,0),0)),"",OFFSET('HARGA SATUAN'!$D$6,MATCH(RAB!C82,'HARGA SATUAN'!$C$7:$C$1495,0),0))</f>
        <v>HDW</v>
      </c>
      <c r="E82" s="306" t="str">
        <f ca="1">IF(B82="+","Unit",IF(ISERROR(OFFSET('HARGA SATUAN'!$E$6,MATCH(RAB!C82,'HARGA SATUAN'!$C$7:$C$1495,0),0)),"",OFFSET('HARGA SATUAN'!$E$6,MATCH(RAB!C82,'HARGA SATUAN'!$C$7:$C$1495,0),0)))</f>
        <v>Bh</v>
      </c>
      <c r="F82" s="451">
        <f>F80*1</f>
        <v>1</v>
      </c>
      <c r="G82" s="307">
        <f ca="1">IF(ISERROR(OFFSET('HARGA SATUAN'!$I$6,MATCH(RAB!C82,'HARGA SATUAN'!$C$7:$C$1495,0),0)),0,OFFSET('HARGA SATUAN'!$I$6,MATCH(RAB!C82,'HARGA SATUAN'!$C$7:$C$1495,0),0))</f>
        <v>135800</v>
      </c>
      <c r="H82" s="308">
        <f t="shared" ca="1" si="4"/>
        <v>0</v>
      </c>
      <c r="I82" s="308">
        <f t="shared" ca="1" si="5"/>
        <v>135800</v>
      </c>
      <c r="J82" s="308">
        <f t="shared" ca="1" si="6"/>
        <v>0</v>
      </c>
      <c r="K82" s="309">
        <f t="shared" ca="1" si="7"/>
        <v>135800</v>
      </c>
      <c r="L82" s="289"/>
      <c r="M82" s="289"/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>
      <c r="A83" s="283"/>
      <c r="B83" s="516">
        <v>3</v>
      </c>
      <c r="C83" s="519" t="s">
        <v>214</v>
      </c>
      <c r="D83" s="305" t="str">
        <f ca="1">IF(ISERROR(OFFSET('HARGA SATUAN'!$D$6,MATCH(RAB!C83,'HARGA SATUAN'!$C$7:$C$1495,0),0)),"",OFFSET('HARGA SATUAN'!$D$6,MATCH(RAB!C83,'HARGA SATUAN'!$C$7:$C$1495,0),0))</f>
        <v>HDW</v>
      </c>
      <c r="E83" s="306" t="str">
        <f ca="1">IF(B83="+","Unit",IF(ISERROR(OFFSET('HARGA SATUAN'!$E$6,MATCH(RAB!C83,'HARGA SATUAN'!$C$7:$C$1495,0),0)),"",OFFSET('HARGA SATUAN'!$E$6,MATCH(RAB!C83,'HARGA SATUAN'!$C$7:$C$1495,0),0)))</f>
        <v>Bh</v>
      </c>
      <c r="F83" s="724">
        <f>F80*1</f>
        <v>1</v>
      </c>
      <c r="G83" s="307">
        <f ca="1">IF(ISERROR(OFFSET('HARGA SATUAN'!$I$6,MATCH(RAB!C83,'HARGA SATUAN'!$C$7:$C$1495,0),0)),0,OFFSET('HARGA SATUAN'!$I$6,MATCH(RAB!C83,'HARGA SATUAN'!$C$7:$C$1495,0),0))</f>
        <v>4500</v>
      </c>
      <c r="H83" s="308">
        <f t="shared" ca="1" si="4"/>
        <v>0</v>
      </c>
      <c r="I83" s="308">
        <f t="shared" ca="1" si="5"/>
        <v>4500</v>
      </c>
      <c r="J83" s="308">
        <f t="shared" ca="1" si="6"/>
        <v>0</v>
      </c>
      <c r="K83" s="309">
        <f t="shared" ca="1" si="7"/>
        <v>4500</v>
      </c>
      <c r="L83" s="289"/>
      <c r="M83" s="289"/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>
      <c r="A84" s="283"/>
      <c r="B84" s="722">
        <v>4</v>
      </c>
      <c r="C84" s="723" t="s">
        <v>768</v>
      </c>
      <c r="D84" s="305" t="str">
        <f ca="1">IF(ISERROR(OFFSET('HARGA SATUAN'!$D$6,MATCH(RAB!C84,'HARGA SATUAN'!$C$7:$C$1495,0),0)),"",OFFSET('HARGA SATUAN'!$D$6,MATCH(RAB!C84,'HARGA SATUAN'!$C$7:$C$1495,0),0))</f>
        <v>JASA</v>
      </c>
      <c r="E84" s="306" t="str">
        <f ca="1">IF(B84="+","Unit",IF(ISERROR(OFFSET('HARGA SATUAN'!$E$6,MATCH(RAB!C84,'HARGA SATUAN'!$C$7:$C$1495,0),0)),"",OFFSET('HARGA SATUAN'!$E$6,MATCH(RAB!C84,'HARGA SATUAN'!$C$7:$C$1495,0),0)))</f>
        <v>Unit</v>
      </c>
      <c r="F84" s="451">
        <f>F80*1</f>
        <v>1</v>
      </c>
      <c r="G84" s="307">
        <f ca="1">IF(ISERROR(OFFSET('HARGA SATUAN'!$I$6,MATCH(RAB!C84,'HARGA SATUAN'!$C$7:$C$1495,0),0)),0,OFFSET('HARGA SATUAN'!$I$6,MATCH(RAB!C84,'HARGA SATUAN'!$C$7:$C$1495,0),0))</f>
        <v>55500</v>
      </c>
      <c r="H84" s="308">
        <f t="shared" ca="1" si="4"/>
        <v>0</v>
      </c>
      <c r="I84" s="308">
        <f t="shared" ca="1" si="5"/>
        <v>0</v>
      </c>
      <c r="J84" s="308">
        <f t="shared" ca="1" si="6"/>
        <v>55500</v>
      </c>
      <c r="K84" s="309">
        <f t="shared" ca="1" si="7"/>
        <v>55500</v>
      </c>
      <c r="L84" s="289"/>
      <c r="M84" s="289"/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>
      <c r="A85" s="283"/>
      <c r="B85" s="512"/>
      <c r="C85" s="513"/>
      <c r="D85" s="305" t="str">
        <f ca="1">IF(ISERROR(OFFSET('HARGA SATUAN'!$D$6,MATCH(RAB!C85,'HARGA SATUAN'!$C$7:$C$1495,0),0)),"",OFFSET('HARGA SATUAN'!$D$6,MATCH(RAB!C85,'HARGA SATUAN'!$C$7:$C$1495,0),0))</f>
        <v/>
      </c>
      <c r="E85" s="306" t="str">
        <f ca="1">IF(B85="+","Unit",IF(ISERROR(OFFSET('HARGA SATUAN'!$E$6,MATCH(RAB!C85,'HARGA SATUAN'!$C$7:$C$1495,0),0)),"",OFFSET('HARGA SATUAN'!$E$6,MATCH(RAB!C85,'HARGA SATUAN'!$C$7:$C$1495,0),0)))</f>
        <v/>
      </c>
      <c r="F85" s="451"/>
      <c r="G85" s="307">
        <f ca="1">IF(ISERROR(OFFSET('HARGA SATUAN'!$I$6,MATCH(RAB!C85,'HARGA SATUAN'!$C$7:$C$1495,0),0)),0,OFFSET('HARGA SATUAN'!$I$6,MATCH(RAB!C85,'HARGA SATUAN'!$C$7:$C$1495,0),0))</f>
        <v>0</v>
      </c>
      <c r="H85" s="308">
        <f t="shared" ca="1" si="4"/>
        <v>0</v>
      </c>
      <c r="I85" s="308">
        <f t="shared" ca="1" si="5"/>
        <v>0</v>
      </c>
      <c r="J85" s="308">
        <f t="shared" ca="1" si="6"/>
        <v>0</v>
      </c>
      <c r="K85" s="309">
        <f t="shared" ca="1" si="7"/>
        <v>0</v>
      </c>
      <c r="L85" s="289"/>
      <c r="M85" s="289"/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>
      <c r="A86" s="283"/>
      <c r="B86" s="514" t="s">
        <v>1035</v>
      </c>
      <c r="C86" s="515" t="s">
        <v>1628</v>
      </c>
      <c r="D86" s="305" t="str">
        <f ca="1">IF(ISERROR(OFFSET('HARGA SATUAN'!$D$6,MATCH(RAB!C86,'HARGA SATUAN'!$C$7:$C$1495,0),0)),"",OFFSET('HARGA SATUAN'!$D$6,MATCH(RAB!C86,'HARGA SATUAN'!$C$7:$C$1495,0),0))</f>
        <v/>
      </c>
      <c r="E86" s="306" t="str">
        <f ca="1">IF(B86="+","Unit",IF(ISERROR(OFFSET('HARGA SATUAN'!$E$6,MATCH(RAB!C86,'HARGA SATUAN'!$C$7:$C$1495,0),0)),"",OFFSET('HARGA SATUAN'!$E$6,MATCH(RAB!C86,'HARGA SATUAN'!$C$7:$C$1495,0),0)))</f>
        <v>Unit</v>
      </c>
      <c r="F86" s="451">
        <v>1</v>
      </c>
      <c r="G86" s="307">
        <f ca="1">IF(ISERROR(OFFSET('HARGA SATUAN'!$I$6,MATCH(RAB!C86,'HARGA SATUAN'!$C$7:$C$1495,0),0)),0,OFFSET('HARGA SATUAN'!$I$6,MATCH(RAB!C86,'HARGA SATUAN'!$C$7:$C$1495,0),0))</f>
        <v>0</v>
      </c>
      <c r="H86" s="308">
        <f t="shared" ca="1" si="4"/>
        <v>0</v>
      </c>
      <c r="I86" s="308">
        <f t="shared" ca="1" si="5"/>
        <v>0</v>
      </c>
      <c r="J86" s="308">
        <f t="shared" ca="1" si="6"/>
        <v>0</v>
      </c>
      <c r="K86" s="309">
        <f t="shared" ca="1" si="7"/>
        <v>0</v>
      </c>
      <c r="L86" s="289"/>
      <c r="M86" s="289"/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>
      <c r="A87" s="283"/>
      <c r="B87" s="514">
        <v>1</v>
      </c>
      <c r="C87" s="515" t="s">
        <v>30</v>
      </c>
      <c r="D87" s="305" t="str">
        <f ca="1">IF(ISERROR(OFFSET('HARGA SATUAN'!$D$6,MATCH(RAB!C87,'HARGA SATUAN'!$C$7:$C$1495,0),0)),"",OFFSET('HARGA SATUAN'!$D$6,MATCH(RAB!C87,'HARGA SATUAN'!$C$7:$C$1495,0),0))</f>
        <v>HDW</v>
      </c>
      <c r="E87" s="306" t="str">
        <f ca="1">IF(B87="+","Unit",IF(ISERROR(OFFSET('HARGA SATUAN'!$E$6,MATCH(RAB!C87,'HARGA SATUAN'!$C$7:$C$1495,0),0)),"",OFFSET('HARGA SATUAN'!$E$6,MATCH(RAB!C87,'HARGA SATUAN'!$C$7:$C$1495,0),0)))</f>
        <v>Bh</v>
      </c>
      <c r="F87" s="451">
        <f>F86*1</f>
        <v>1</v>
      </c>
      <c r="G87" s="307">
        <f ca="1">IF(ISERROR(OFFSET('HARGA SATUAN'!$I$6,MATCH(RAB!C87,'HARGA SATUAN'!$C$7:$C$1495,0),0)),0,OFFSET('HARGA SATUAN'!$I$6,MATCH(RAB!C87,'HARGA SATUAN'!$C$7:$C$1495,0),0))</f>
        <v>47459</v>
      </c>
      <c r="H87" s="308">
        <f t="shared" ca="1" si="4"/>
        <v>0</v>
      </c>
      <c r="I87" s="308">
        <f t="shared" ca="1" si="5"/>
        <v>47459</v>
      </c>
      <c r="J87" s="308">
        <f t="shared" ca="1" si="6"/>
        <v>0</v>
      </c>
      <c r="K87" s="309">
        <f t="shared" ca="1" si="7"/>
        <v>47459</v>
      </c>
      <c r="L87" s="289"/>
      <c r="M87" s="289"/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>
      <c r="A88" s="283"/>
      <c r="B88" s="514">
        <v>2</v>
      </c>
      <c r="C88" s="515" t="s">
        <v>32</v>
      </c>
      <c r="D88" s="305" t="str">
        <f ca="1">IF(ISERROR(OFFSET('HARGA SATUAN'!$D$6,MATCH(RAB!C88,'HARGA SATUAN'!$C$7:$C$1495,0),0)),"",OFFSET('HARGA SATUAN'!$D$6,MATCH(RAB!C88,'HARGA SATUAN'!$C$7:$C$1495,0),0))</f>
        <v>HDW</v>
      </c>
      <c r="E88" s="306" t="str">
        <f ca="1">IF(B88="+","Unit",IF(ISERROR(OFFSET('HARGA SATUAN'!$E$6,MATCH(RAB!C88,'HARGA SATUAN'!$C$7:$C$1495,0),0)),"",OFFSET('HARGA SATUAN'!$E$6,MATCH(RAB!C88,'HARGA SATUAN'!$C$7:$C$1495,0),0)))</f>
        <v>Mtr</v>
      </c>
      <c r="F88" s="451">
        <f>F86*0.8</f>
        <v>0.8</v>
      </c>
      <c r="G88" s="307">
        <f ca="1">IF(ISERROR(OFFSET('HARGA SATUAN'!$I$6,MATCH(RAB!C88,'HARGA SATUAN'!$C$7:$C$1495,0),0)),0,OFFSET('HARGA SATUAN'!$I$6,MATCH(RAB!C88,'HARGA SATUAN'!$C$7:$C$1495,0),0))</f>
        <v>30000</v>
      </c>
      <c r="H88" s="308">
        <f t="shared" ca="1" si="4"/>
        <v>0</v>
      </c>
      <c r="I88" s="308">
        <f t="shared" ca="1" si="5"/>
        <v>24000</v>
      </c>
      <c r="J88" s="308">
        <f t="shared" ca="1" si="6"/>
        <v>0</v>
      </c>
      <c r="K88" s="309">
        <f t="shared" ca="1" si="7"/>
        <v>24000</v>
      </c>
      <c r="L88" s="289"/>
      <c r="M88" s="289"/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>
      <c r="A89" s="283"/>
      <c r="B89" s="514">
        <v>3</v>
      </c>
      <c r="C89" s="515" t="s">
        <v>33</v>
      </c>
      <c r="D89" s="305" t="str">
        <f ca="1">IF(ISERROR(OFFSET('HARGA SATUAN'!$D$6,MATCH(RAB!C89,'HARGA SATUAN'!$C$7:$C$1495,0),0)),"",OFFSET('HARGA SATUAN'!$D$6,MATCH(RAB!C89,'HARGA SATUAN'!$C$7:$C$1495,0),0))</f>
        <v>HDW</v>
      </c>
      <c r="E89" s="306" t="str">
        <f ca="1">IF(B89="+","Unit",IF(ISERROR(OFFSET('HARGA SATUAN'!$E$6,MATCH(RAB!C89,'HARGA SATUAN'!$C$7:$C$1495,0),0)),"",OFFSET('HARGA SATUAN'!$E$6,MATCH(RAB!C89,'HARGA SATUAN'!$C$7:$C$1495,0),0)))</f>
        <v>Bh</v>
      </c>
      <c r="F89" s="451">
        <f>F86*1</f>
        <v>1</v>
      </c>
      <c r="G89" s="307">
        <f ca="1">IF(ISERROR(OFFSET('HARGA SATUAN'!$I$6,MATCH(RAB!C89,'HARGA SATUAN'!$C$7:$C$1495,0),0)),0,OFFSET('HARGA SATUAN'!$I$6,MATCH(RAB!C89,'HARGA SATUAN'!$C$7:$C$1495,0),0))</f>
        <v>9500</v>
      </c>
      <c r="H89" s="308">
        <f t="shared" ca="1" si="4"/>
        <v>0</v>
      </c>
      <c r="I89" s="308">
        <f t="shared" ca="1" si="5"/>
        <v>9500</v>
      </c>
      <c r="J89" s="308">
        <f t="shared" ca="1" si="6"/>
        <v>0</v>
      </c>
      <c r="K89" s="309">
        <f t="shared" ca="1" si="7"/>
        <v>9500</v>
      </c>
      <c r="L89" s="289"/>
      <c r="M89" s="289"/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>
      <c r="A90" s="283"/>
      <c r="B90" s="514">
        <v>4</v>
      </c>
      <c r="C90" s="515" t="s">
        <v>737</v>
      </c>
      <c r="D90" s="305" t="str">
        <f ca="1">IF(ISERROR(OFFSET('HARGA SATUAN'!$D$6,MATCH(RAB!C90,'HARGA SATUAN'!$C$7:$C$1495,0),0)),"",OFFSET('HARGA SATUAN'!$D$6,MATCH(RAB!C90,'HARGA SATUAN'!$C$7:$C$1495,0),0))</f>
        <v>JASA</v>
      </c>
      <c r="E90" s="306" t="str">
        <f ca="1">IF(B90="+","Unit",IF(ISERROR(OFFSET('HARGA SATUAN'!$E$6,MATCH(RAB!C90,'HARGA SATUAN'!$C$7:$C$1495,0),0)),"",OFFSET('HARGA SATUAN'!$E$6,MATCH(RAB!C90,'HARGA SATUAN'!$C$7:$C$1495,0),0)))</f>
        <v>Unit</v>
      </c>
      <c r="F90" s="451">
        <f>F86*1</f>
        <v>1</v>
      </c>
      <c r="G90" s="307">
        <f ca="1">IF(ISERROR(OFFSET('HARGA SATUAN'!$I$6,MATCH(RAB!C90,'HARGA SATUAN'!$C$7:$C$1495,0),0)),0,OFFSET('HARGA SATUAN'!$I$6,MATCH(RAB!C90,'HARGA SATUAN'!$C$7:$C$1495,0),0))</f>
        <v>16200</v>
      </c>
      <c r="H90" s="308">
        <f t="shared" ca="1" si="4"/>
        <v>0</v>
      </c>
      <c r="I90" s="308">
        <f t="shared" ca="1" si="5"/>
        <v>0</v>
      </c>
      <c r="J90" s="308">
        <f t="shared" ca="1" si="6"/>
        <v>16200</v>
      </c>
      <c r="K90" s="309">
        <f t="shared" ca="1" si="7"/>
        <v>16200</v>
      </c>
      <c r="L90" s="289"/>
      <c r="M90" s="289"/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>
      <c r="A91" s="283"/>
      <c r="B91" s="420"/>
      <c r="C91" s="417"/>
      <c r="D91" s="305" t="str">
        <f ca="1">IF(ISERROR(OFFSET('HARGA SATUAN'!$D$6,MATCH(RAB!C91,'HARGA SATUAN'!$C$7:$C$1495,0),0)),"",OFFSET('HARGA SATUAN'!$D$6,MATCH(RAB!C91,'HARGA SATUAN'!$C$7:$C$1495,0),0))</f>
        <v/>
      </c>
      <c r="E91" s="306" t="str">
        <f ca="1">IF(B91="+","Unit",IF(ISERROR(OFFSET('HARGA SATUAN'!$E$6,MATCH(RAB!C91,'HARGA SATUAN'!$C$7:$C$1495,0),0)),"",OFFSET('HARGA SATUAN'!$E$6,MATCH(RAB!C91,'HARGA SATUAN'!$C$7:$C$1495,0),0)))</f>
        <v/>
      </c>
      <c r="F91" s="451"/>
      <c r="G91" s="307">
        <f ca="1">IF(ISERROR(OFFSET('HARGA SATUAN'!$I$6,MATCH(RAB!C91,'HARGA SATUAN'!$C$7:$C$1495,0),0)),0,OFFSET('HARGA SATUAN'!$I$6,MATCH(RAB!C91,'HARGA SATUAN'!$C$7:$C$1495,0),0))</f>
        <v>0</v>
      </c>
      <c r="H91" s="308">
        <f t="shared" ref="H91:H117" ca="1" si="12">IF(OR(D91="MDU",D91="MDU-KD"),(IF($O$3="RAB NON MDU","PLN KD",G91*F91)),0)</f>
        <v>0</v>
      </c>
      <c r="I91" s="308">
        <f t="shared" ref="I91:I117" ca="1" si="13">IF(D91="HDW",G91*F91,0)</f>
        <v>0</v>
      </c>
      <c r="J91" s="308">
        <f t="shared" ref="J91:J117" ca="1" si="14">IF(D91="JASA",G91*F91,0)</f>
        <v>0</v>
      </c>
      <c r="K91" s="309">
        <f t="shared" ref="K91:K117" ca="1" si="15">SUM(H91:J91)</f>
        <v>0</v>
      </c>
      <c r="L91" s="316"/>
      <c r="M91" s="289" t="e">
        <f>IF(AND(F91&gt;0,#REF!=0),"",IF(AND(ISBLANK(F91)=FALSE,K91=0),"WARNING",""))</f>
        <v>#REF!</v>
      </c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 hidden="1">
      <c r="A92" s="283"/>
      <c r="B92" s="420">
        <v>10</v>
      </c>
      <c r="C92" s="417" t="s">
        <v>1615</v>
      </c>
      <c r="D92" s="305" t="str">
        <f ca="1">IF(ISERROR(OFFSET('HARGA SATUAN'!$D$6,MATCH(RAB!C92,'HARGA SATUAN'!$C$7:$C$1495,0),0)),"",OFFSET('HARGA SATUAN'!$D$6,MATCH(RAB!C92,'HARGA SATUAN'!$C$7:$C$1495,0),0))</f>
        <v>HDW</v>
      </c>
      <c r="E92" s="306" t="str">
        <f ca="1">IF(B92="+","Unit",IF(ISERROR(OFFSET('HARGA SATUAN'!$E$6,MATCH(RAB!C92,'HARGA SATUAN'!$C$7:$C$1495,0),0)),"",OFFSET('HARGA SATUAN'!$E$6,MATCH(RAB!C92,'HARGA SATUAN'!$C$7:$C$1495,0),0)))</f>
        <v>Bh</v>
      </c>
      <c r="F92" s="453"/>
      <c r="G92" s="307">
        <f ca="1">IF(ISERROR(OFFSET('HARGA SATUAN'!$I$6,MATCH(RAB!C92,'HARGA SATUAN'!$C$7:$C$1495,0),0)),0,OFFSET('HARGA SATUAN'!$I$6,MATCH(RAB!C92,'HARGA SATUAN'!$C$7:$C$1495,0),0))</f>
        <v>49000</v>
      </c>
      <c r="H92" s="308">
        <f t="shared" ca="1" si="12"/>
        <v>0</v>
      </c>
      <c r="I92" s="308">
        <f t="shared" ca="1" si="13"/>
        <v>0</v>
      </c>
      <c r="J92" s="308">
        <f t="shared" ca="1" si="14"/>
        <v>0</v>
      </c>
      <c r="K92" s="309">
        <f t="shared" ca="1" si="15"/>
        <v>0</v>
      </c>
      <c r="L92" s="316"/>
      <c r="M92" s="289" t="str">
        <f t="shared" ref="M92:M131" ca="1" si="16">IF(AND(F92&gt;0,F91=0),"",IF(AND(ISBLANK(F92)=FALSE,K92=0),"WARNING",""))</f>
        <v/>
      </c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 hidden="1">
      <c r="A93" s="283"/>
      <c r="B93" s="449"/>
      <c r="C93" s="450"/>
      <c r="D93" s="305" t="str">
        <f ca="1">IF(ISERROR(OFFSET('HARGA SATUAN'!$D$6,MATCH(RAB!C93,'HARGA SATUAN'!$C$7:$C$1495,0),0)),"",OFFSET('HARGA SATUAN'!$D$6,MATCH(RAB!C93,'HARGA SATUAN'!$C$7:$C$1495,0),0))</f>
        <v/>
      </c>
      <c r="E93" s="306" t="str">
        <f ca="1">IF(B93="+","Unit",IF(ISERROR(OFFSET('HARGA SATUAN'!$E$6,MATCH(RAB!C93,'HARGA SATUAN'!$C$7:$C$1495,0),0)),"",OFFSET('HARGA SATUAN'!$E$6,MATCH(RAB!C93,'HARGA SATUAN'!$C$7:$C$1495,0),0)))</f>
        <v/>
      </c>
      <c r="F93" s="453"/>
      <c r="G93" s="307">
        <f ca="1">IF(ISERROR(OFFSET('HARGA SATUAN'!$I$6,MATCH(RAB!C93,'HARGA SATUAN'!$C$7:$C$1495,0),0)),0,OFFSET('HARGA SATUAN'!$I$6,MATCH(RAB!C93,'HARGA SATUAN'!$C$7:$C$1495,0),0))</f>
        <v>0</v>
      </c>
      <c r="H93" s="308">
        <f t="shared" ca="1" si="12"/>
        <v>0</v>
      </c>
      <c r="I93" s="308">
        <f t="shared" ca="1" si="13"/>
        <v>0</v>
      </c>
      <c r="J93" s="308">
        <f t="shared" ca="1" si="14"/>
        <v>0</v>
      </c>
      <c r="K93" s="309">
        <f t="shared" ca="1" si="15"/>
        <v>0</v>
      </c>
      <c r="L93" s="316"/>
      <c r="M93" s="289" t="str">
        <f t="shared" ca="1" si="16"/>
        <v/>
      </c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 hidden="1">
      <c r="A94" s="283"/>
      <c r="B94" s="449"/>
      <c r="C94" s="450"/>
      <c r="D94" s="305" t="str">
        <f ca="1">IF(ISERROR(OFFSET('HARGA SATUAN'!$D$6,MATCH(RAB!C94,'HARGA SATUAN'!$C$7:$C$1495,0),0)),"",OFFSET('HARGA SATUAN'!$D$6,MATCH(RAB!C94,'HARGA SATUAN'!$C$7:$C$1495,0),0))</f>
        <v/>
      </c>
      <c r="E94" s="306" t="str">
        <f ca="1">IF(B94="+","Unit",IF(ISERROR(OFFSET('HARGA SATUAN'!$E$6,MATCH(RAB!C94,'HARGA SATUAN'!$C$7:$C$1495,0),0)),"",OFFSET('HARGA SATUAN'!$E$6,MATCH(RAB!C94,'HARGA SATUAN'!$C$7:$C$1495,0),0)))</f>
        <v/>
      </c>
      <c r="F94" s="453"/>
      <c r="G94" s="307">
        <f ca="1">IF(ISERROR(OFFSET('HARGA SATUAN'!$I$6,MATCH(RAB!C94,'HARGA SATUAN'!$C$7:$C$1495,0),0)),0,OFFSET('HARGA SATUAN'!$I$6,MATCH(RAB!C94,'HARGA SATUAN'!$C$7:$C$1495,0),0))</f>
        <v>0</v>
      </c>
      <c r="H94" s="308">
        <f t="shared" ca="1" si="12"/>
        <v>0</v>
      </c>
      <c r="I94" s="308">
        <f t="shared" ca="1" si="13"/>
        <v>0</v>
      </c>
      <c r="J94" s="308">
        <f t="shared" ca="1" si="14"/>
        <v>0</v>
      </c>
      <c r="K94" s="309">
        <f t="shared" ca="1" si="15"/>
        <v>0</v>
      </c>
      <c r="L94" s="316"/>
      <c r="M94" s="289" t="str">
        <f t="shared" ca="1" si="16"/>
        <v/>
      </c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 s="317" customFormat="1" hidden="1">
      <c r="A95" s="283"/>
      <c r="B95" s="449"/>
      <c r="C95" s="450"/>
      <c r="D95" s="305" t="str">
        <f ca="1">IF(ISERROR(OFFSET('HARGA SATUAN'!$D$6,MATCH(RAB!C95,'HARGA SATUAN'!$C$7:$C$1495,0),0)),"",OFFSET('HARGA SATUAN'!$D$6,MATCH(RAB!C95,'HARGA SATUAN'!$C$7:$C$1495,0),0))</f>
        <v/>
      </c>
      <c r="E95" s="306" t="str">
        <f ca="1">IF(B95="+","Unit",IF(ISERROR(OFFSET('HARGA SATUAN'!$E$6,MATCH(RAB!C95,'HARGA SATUAN'!$C$7:$C$1495,0),0)),"",OFFSET('HARGA SATUAN'!$E$6,MATCH(RAB!C95,'HARGA SATUAN'!$C$7:$C$1495,0),0)))</f>
        <v/>
      </c>
      <c r="F95" s="453"/>
      <c r="G95" s="307">
        <f ca="1">IF(ISERROR(OFFSET('HARGA SATUAN'!$I$6,MATCH(RAB!C95,'HARGA SATUAN'!$C$7:$C$1495,0),0)),0,OFFSET('HARGA SATUAN'!$I$6,MATCH(RAB!C95,'HARGA SATUAN'!$C$7:$C$1495,0),0))</f>
        <v>0</v>
      </c>
      <c r="H95" s="308">
        <f t="shared" ca="1" si="12"/>
        <v>0</v>
      </c>
      <c r="I95" s="308">
        <f t="shared" ca="1" si="13"/>
        <v>0</v>
      </c>
      <c r="J95" s="308">
        <f t="shared" ca="1" si="14"/>
        <v>0</v>
      </c>
      <c r="K95" s="309">
        <f t="shared" ca="1" si="15"/>
        <v>0</v>
      </c>
      <c r="L95" s="316"/>
      <c r="M95" s="289" t="str">
        <f t="shared" ca="1" si="16"/>
        <v/>
      </c>
      <c r="N95" s="316"/>
      <c r="O95" s="310"/>
      <c r="P95" s="310"/>
      <c r="Q95" s="291"/>
      <c r="R95" s="283"/>
      <c r="S95" s="311"/>
      <c r="T95" s="288"/>
      <c r="U95" s="288"/>
      <c r="V95" s="288"/>
    </row>
    <row r="96" spans="1:22" s="317" customFormat="1" hidden="1">
      <c r="A96" s="283"/>
      <c r="B96" s="449"/>
      <c r="C96" s="450"/>
      <c r="D96" s="305" t="str">
        <f ca="1">IF(ISERROR(OFFSET('HARGA SATUAN'!$D$6,MATCH(RAB!C96,'HARGA SATUAN'!$C$7:$C$1495,0),0)),"",OFFSET('HARGA SATUAN'!$D$6,MATCH(RAB!C96,'HARGA SATUAN'!$C$7:$C$1495,0),0))</f>
        <v/>
      </c>
      <c r="E96" s="306" t="str">
        <f ca="1">IF(B96="+","Unit",IF(ISERROR(OFFSET('HARGA SATUAN'!$E$6,MATCH(RAB!C96,'HARGA SATUAN'!$C$7:$C$1495,0),0)),"",OFFSET('HARGA SATUAN'!$E$6,MATCH(RAB!C96,'HARGA SATUAN'!$C$7:$C$1495,0),0)))</f>
        <v/>
      </c>
      <c r="F96" s="453"/>
      <c r="G96" s="307">
        <f ca="1">IF(ISERROR(OFFSET('HARGA SATUAN'!$I$6,MATCH(RAB!C96,'HARGA SATUAN'!$C$7:$C$1495,0),0)),0,OFFSET('HARGA SATUAN'!$I$6,MATCH(RAB!C96,'HARGA SATUAN'!$C$7:$C$1495,0),0))</f>
        <v>0</v>
      </c>
      <c r="H96" s="308">
        <f t="shared" ca="1" si="12"/>
        <v>0</v>
      </c>
      <c r="I96" s="308">
        <f t="shared" ca="1" si="13"/>
        <v>0</v>
      </c>
      <c r="J96" s="308">
        <f t="shared" ca="1" si="14"/>
        <v>0</v>
      </c>
      <c r="K96" s="309">
        <f t="shared" ca="1" si="15"/>
        <v>0</v>
      </c>
      <c r="L96" s="316"/>
      <c r="M96" s="289" t="str">
        <f t="shared" ca="1" si="16"/>
        <v/>
      </c>
      <c r="N96" s="316"/>
      <c r="O96" s="310"/>
      <c r="P96" s="310"/>
      <c r="Q96" s="291"/>
      <c r="R96" s="283"/>
      <c r="S96" s="311"/>
      <c r="T96" s="288"/>
      <c r="U96" s="288"/>
      <c r="V96" s="288"/>
    </row>
    <row r="97" spans="1:22" s="317" customFormat="1" hidden="1">
      <c r="A97" s="283"/>
      <c r="B97" s="449"/>
      <c r="C97" s="450"/>
      <c r="D97" s="305" t="str">
        <f ca="1">IF(ISERROR(OFFSET('HARGA SATUAN'!$D$6,MATCH(RAB!C97,'HARGA SATUAN'!$C$7:$C$1495,0),0)),"",OFFSET('HARGA SATUAN'!$D$6,MATCH(RAB!C97,'HARGA SATUAN'!$C$7:$C$1495,0),0))</f>
        <v/>
      </c>
      <c r="E97" s="306" t="str">
        <f ca="1">IF(B97="+","Unit",IF(ISERROR(OFFSET('HARGA SATUAN'!$E$6,MATCH(RAB!C97,'HARGA SATUAN'!$C$7:$C$1495,0),0)),"",OFFSET('HARGA SATUAN'!$E$6,MATCH(RAB!C97,'HARGA SATUAN'!$C$7:$C$1495,0),0)))</f>
        <v/>
      </c>
      <c r="F97" s="453"/>
      <c r="G97" s="307">
        <f ca="1">IF(ISERROR(OFFSET('HARGA SATUAN'!$I$6,MATCH(RAB!C97,'HARGA SATUAN'!$C$7:$C$1495,0),0)),0,OFFSET('HARGA SATUAN'!$I$6,MATCH(RAB!C97,'HARGA SATUAN'!$C$7:$C$1495,0),0))</f>
        <v>0</v>
      </c>
      <c r="H97" s="308">
        <f t="shared" ca="1" si="12"/>
        <v>0</v>
      </c>
      <c r="I97" s="308">
        <f t="shared" ca="1" si="13"/>
        <v>0</v>
      </c>
      <c r="J97" s="308">
        <f t="shared" ca="1" si="14"/>
        <v>0</v>
      </c>
      <c r="K97" s="309">
        <f t="shared" ca="1" si="15"/>
        <v>0</v>
      </c>
      <c r="L97" s="316"/>
      <c r="M97" s="289" t="str">
        <f t="shared" ca="1" si="16"/>
        <v/>
      </c>
      <c r="N97" s="316"/>
      <c r="O97" s="310"/>
      <c r="P97" s="310"/>
      <c r="Q97" s="291"/>
      <c r="R97" s="283"/>
      <c r="S97" s="311"/>
      <c r="T97" s="288"/>
      <c r="U97" s="288"/>
      <c r="V97" s="288"/>
    </row>
    <row r="98" spans="1:22" s="317" customFormat="1" hidden="1">
      <c r="A98" s="283"/>
      <c r="B98" s="449"/>
      <c r="C98" s="450"/>
      <c r="D98" s="305" t="str">
        <f ca="1">IF(ISERROR(OFFSET('HARGA SATUAN'!$D$6,MATCH(RAB!C98,'HARGA SATUAN'!$C$7:$C$1495,0),0)),"",OFFSET('HARGA SATUAN'!$D$6,MATCH(RAB!C98,'HARGA SATUAN'!$C$7:$C$1495,0),0))</f>
        <v/>
      </c>
      <c r="E98" s="306" t="str">
        <f ca="1">IF(B98="+","Unit",IF(ISERROR(OFFSET('HARGA SATUAN'!$E$6,MATCH(RAB!C98,'HARGA SATUAN'!$C$7:$C$1495,0),0)),"",OFFSET('HARGA SATUAN'!$E$6,MATCH(RAB!C98,'HARGA SATUAN'!$C$7:$C$1495,0),0)))</f>
        <v/>
      </c>
      <c r="F98" s="453"/>
      <c r="G98" s="307">
        <f ca="1">IF(ISERROR(OFFSET('HARGA SATUAN'!$I$6,MATCH(RAB!C98,'HARGA SATUAN'!$C$7:$C$1495,0),0)),0,OFFSET('HARGA SATUAN'!$I$6,MATCH(RAB!C98,'HARGA SATUAN'!$C$7:$C$1495,0),0))</f>
        <v>0</v>
      </c>
      <c r="H98" s="308">
        <f t="shared" ca="1" si="12"/>
        <v>0</v>
      </c>
      <c r="I98" s="308">
        <f t="shared" ca="1" si="13"/>
        <v>0</v>
      </c>
      <c r="J98" s="308">
        <f t="shared" ca="1" si="14"/>
        <v>0</v>
      </c>
      <c r="K98" s="309">
        <f t="shared" ca="1" si="15"/>
        <v>0</v>
      </c>
      <c r="L98" s="316"/>
      <c r="M98" s="289" t="str">
        <f t="shared" ca="1" si="16"/>
        <v/>
      </c>
      <c r="N98" s="316"/>
      <c r="O98" s="310"/>
      <c r="P98" s="310"/>
      <c r="Q98" s="291"/>
      <c r="R98" s="283"/>
      <c r="S98" s="311"/>
      <c r="T98" s="288"/>
      <c r="U98" s="288"/>
      <c r="V98" s="288"/>
    </row>
    <row r="99" spans="1:22" s="317" customFormat="1" hidden="1">
      <c r="A99" s="283"/>
      <c r="B99" s="449"/>
      <c r="C99" s="450"/>
      <c r="D99" s="305" t="str">
        <f ca="1">IF(ISERROR(OFFSET('HARGA SATUAN'!$D$6,MATCH(RAB!C99,'HARGA SATUAN'!$C$7:$C$1495,0),0)),"",OFFSET('HARGA SATUAN'!$D$6,MATCH(RAB!C99,'HARGA SATUAN'!$C$7:$C$1495,0),0))</f>
        <v/>
      </c>
      <c r="E99" s="306" t="str">
        <f ca="1">IF(B99="+","Unit",IF(ISERROR(OFFSET('HARGA SATUAN'!$E$6,MATCH(RAB!C99,'HARGA SATUAN'!$C$7:$C$1495,0),0)),"",OFFSET('HARGA SATUAN'!$E$6,MATCH(RAB!C99,'HARGA SATUAN'!$C$7:$C$1495,0),0)))</f>
        <v/>
      </c>
      <c r="F99" s="453"/>
      <c r="G99" s="307">
        <f ca="1">IF(ISERROR(OFFSET('HARGA SATUAN'!$I$6,MATCH(RAB!C99,'HARGA SATUAN'!$C$7:$C$1495,0),0)),0,OFFSET('HARGA SATUAN'!$I$6,MATCH(RAB!C99,'HARGA SATUAN'!$C$7:$C$1495,0),0))</f>
        <v>0</v>
      </c>
      <c r="H99" s="308">
        <f t="shared" ca="1" si="12"/>
        <v>0</v>
      </c>
      <c r="I99" s="308">
        <f t="shared" ca="1" si="13"/>
        <v>0</v>
      </c>
      <c r="J99" s="308">
        <f t="shared" ca="1" si="14"/>
        <v>0</v>
      </c>
      <c r="K99" s="309">
        <f t="shared" ca="1" si="15"/>
        <v>0</v>
      </c>
      <c r="L99" s="316"/>
      <c r="M99" s="289" t="str">
        <f t="shared" ca="1" si="16"/>
        <v/>
      </c>
      <c r="N99" s="316"/>
      <c r="O99" s="310"/>
      <c r="P99" s="310"/>
      <c r="Q99" s="291"/>
      <c r="R99" s="283"/>
      <c r="S99" s="311"/>
      <c r="T99" s="288"/>
      <c r="U99" s="288"/>
      <c r="V99" s="288"/>
    </row>
    <row r="100" spans="1:22" s="317" customFormat="1" hidden="1">
      <c r="A100" s="283"/>
      <c r="B100" s="449"/>
      <c r="C100" s="450"/>
      <c r="D100" s="305" t="str">
        <f ca="1">IF(ISERROR(OFFSET('HARGA SATUAN'!$D$6,MATCH(RAB!C100,'HARGA SATUAN'!$C$7:$C$1495,0),0)),"",OFFSET('HARGA SATUAN'!$D$6,MATCH(RAB!C100,'HARGA SATUAN'!$C$7:$C$1495,0),0))</f>
        <v/>
      </c>
      <c r="E100" s="306" t="str">
        <f ca="1">IF(B100="+","Unit",IF(ISERROR(OFFSET('HARGA SATUAN'!$E$6,MATCH(RAB!C100,'HARGA SATUAN'!$C$7:$C$1495,0),0)),"",OFFSET('HARGA SATUAN'!$E$6,MATCH(RAB!C100,'HARGA SATUAN'!$C$7:$C$1495,0),0)))</f>
        <v/>
      </c>
      <c r="F100" s="453"/>
      <c r="G100" s="307">
        <f ca="1">IF(ISERROR(OFFSET('HARGA SATUAN'!$I$6,MATCH(RAB!C100,'HARGA SATUAN'!$C$7:$C$1495,0),0)),0,OFFSET('HARGA SATUAN'!$I$6,MATCH(RAB!C100,'HARGA SATUAN'!$C$7:$C$1495,0),0))</f>
        <v>0</v>
      </c>
      <c r="H100" s="308">
        <f t="shared" ca="1" si="12"/>
        <v>0</v>
      </c>
      <c r="I100" s="308">
        <f t="shared" ca="1" si="13"/>
        <v>0</v>
      </c>
      <c r="J100" s="308">
        <f t="shared" ca="1" si="14"/>
        <v>0</v>
      </c>
      <c r="K100" s="309">
        <f t="shared" ca="1" si="15"/>
        <v>0</v>
      </c>
      <c r="L100" s="316"/>
      <c r="M100" s="289" t="str">
        <f t="shared" ca="1" si="16"/>
        <v/>
      </c>
      <c r="N100" s="316"/>
      <c r="O100" s="310"/>
      <c r="P100" s="310"/>
      <c r="Q100" s="291"/>
      <c r="R100" s="283"/>
      <c r="S100" s="311"/>
      <c r="T100" s="288"/>
      <c r="U100" s="288"/>
      <c r="V100" s="288"/>
    </row>
    <row r="101" spans="1:22" s="317" customFormat="1" hidden="1">
      <c r="A101" s="283"/>
      <c r="B101" s="449"/>
      <c r="C101" s="450"/>
      <c r="D101" s="305" t="str">
        <f ca="1">IF(ISERROR(OFFSET('HARGA SATUAN'!$D$6,MATCH(RAB!C101,'HARGA SATUAN'!$C$7:$C$1495,0),0)),"",OFFSET('HARGA SATUAN'!$D$6,MATCH(RAB!C101,'HARGA SATUAN'!$C$7:$C$1495,0),0))</f>
        <v/>
      </c>
      <c r="E101" s="306" t="str">
        <f ca="1">IF(B101="+","Unit",IF(ISERROR(OFFSET('HARGA SATUAN'!$E$6,MATCH(RAB!C101,'HARGA SATUAN'!$C$7:$C$1495,0),0)),"",OFFSET('HARGA SATUAN'!$E$6,MATCH(RAB!C101,'HARGA SATUAN'!$C$7:$C$1495,0),0)))</f>
        <v/>
      </c>
      <c r="F101" s="453"/>
      <c r="G101" s="307">
        <f ca="1">IF(ISERROR(OFFSET('HARGA SATUAN'!$I$6,MATCH(RAB!C101,'HARGA SATUAN'!$C$7:$C$1495,0),0)),0,OFFSET('HARGA SATUAN'!$I$6,MATCH(RAB!C101,'HARGA SATUAN'!$C$7:$C$1495,0),0))</f>
        <v>0</v>
      </c>
      <c r="H101" s="308">
        <f t="shared" ca="1" si="12"/>
        <v>0</v>
      </c>
      <c r="I101" s="308">
        <f t="shared" ca="1" si="13"/>
        <v>0</v>
      </c>
      <c r="J101" s="308">
        <f t="shared" ca="1" si="14"/>
        <v>0</v>
      </c>
      <c r="K101" s="309">
        <f t="shared" ca="1" si="15"/>
        <v>0</v>
      </c>
      <c r="L101" s="316"/>
      <c r="M101" s="289" t="str">
        <f t="shared" ca="1" si="16"/>
        <v/>
      </c>
      <c r="N101" s="316"/>
      <c r="O101" s="310"/>
      <c r="P101" s="310"/>
      <c r="Q101" s="291"/>
      <c r="R101" s="283"/>
      <c r="S101" s="311"/>
      <c r="T101" s="288"/>
      <c r="U101" s="288"/>
      <c r="V101" s="288"/>
    </row>
    <row r="102" spans="1:22" s="317" customFormat="1" hidden="1">
      <c r="A102" s="283"/>
      <c r="B102" s="449"/>
      <c r="C102" s="450"/>
      <c r="D102" s="305" t="str">
        <f ca="1">IF(ISERROR(OFFSET('HARGA SATUAN'!$D$6,MATCH(RAB!C102,'HARGA SATUAN'!$C$7:$C$1495,0),0)),"",OFFSET('HARGA SATUAN'!$D$6,MATCH(RAB!C102,'HARGA SATUAN'!$C$7:$C$1495,0),0))</f>
        <v/>
      </c>
      <c r="E102" s="306" t="str">
        <f ca="1">IF(B102="+","Unit",IF(ISERROR(OFFSET('HARGA SATUAN'!$E$6,MATCH(RAB!C102,'HARGA SATUAN'!$C$7:$C$1495,0),0)),"",OFFSET('HARGA SATUAN'!$E$6,MATCH(RAB!C102,'HARGA SATUAN'!$C$7:$C$1495,0),0)))</f>
        <v/>
      </c>
      <c r="F102" s="453"/>
      <c r="G102" s="307">
        <f ca="1">IF(ISERROR(OFFSET('HARGA SATUAN'!$I$6,MATCH(RAB!C102,'HARGA SATUAN'!$C$7:$C$1495,0),0)),0,OFFSET('HARGA SATUAN'!$I$6,MATCH(RAB!C102,'HARGA SATUAN'!$C$7:$C$1495,0),0))</f>
        <v>0</v>
      </c>
      <c r="H102" s="308">
        <f t="shared" ca="1" si="12"/>
        <v>0</v>
      </c>
      <c r="I102" s="308">
        <f t="shared" ca="1" si="13"/>
        <v>0</v>
      </c>
      <c r="J102" s="308">
        <f t="shared" ca="1" si="14"/>
        <v>0</v>
      </c>
      <c r="K102" s="309">
        <f t="shared" ca="1" si="15"/>
        <v>0</v>
      </c>
      <c r="L102" s="316"/>
      <c r="M102" s="289" t="str">
        <f t="shared" ca="1" si="16"/>
        <v/>
      </c>
      <c r="N102" s="316"/>
      <c r="O102" s="310"/>
      <c r="P102" s="310"/>
      <c r="Q102" s="291"/>
      <c r="R102" s="283"/>
      <c r="S102" s="311"/>
      <c r="T102" s="288"/>
      <c r="U102" s="288"/>
      <c r="V102" s="288"/>
    </row>
    <row r="103" spans="1:22" s="317" customFormat="1" hidden="1">
      <c r="A103" s="283"/>
      <c r="B103" s="449"/>
      <c r="C103" s="450"/>
      <c r="D103" s="305" t="str">
        <f ca="1">IF(ISERROR(OFFSET('HARGA SATUAN'!$D$6,MATCH(RAB!C103,'HARGA SATUAN'!$C$7:$C$1495,0),0)),"",OFFSET('HARGA SATUAN'!$D$6,MATCH(RAB!C103,'HARGA SATUAN'!$C$7:$C$1495,0),0))</f>
        <v/>
      </c>
      <c r="E103" s="306" t="str">
        <f ca="1">IF(B103="+","Unit",IF(ISERROR(OFFSET('HARGA SATUAN'!$E$6,MATCH(RAB!C103,'HARGA SATUAN'!$C$7:$C$1495,0),0)),"",OFFSET('HARGA SATUAN'!$E$6,MATCH(RAB!C103,'HARGA SATUAN'!$C$7:$C$1495,0),0)))</f>
        <v/>
      </c>
      <c r="F103" s="453"/>
      <c r="G103" s="307">
        <f ca="1">IF(ISERROR(OFFSET('HARGA SATUAN'!$I$6,MATCH(RAB!C103,'HARGA SATUAN'!$C$7:$C$1495,0),0)),0,OFFSET('HARGA SATUAN'!$I$6,MATCH(RAB!C103,'HARGA SATUAN'!$C$7:$C$1495,0),0))</f>
        <v>0</v>
      </c>
      <c r="H103" s="308">
        <f t="shared" ca="1" si="12"/>
        <v>0</v>
      </c>
      <c r="I103" s="308">
        <f t="shared" ca="1" si="13"/>
        <v>0</v>
      </c>
      <c r="J103" s="308">
        <f t="shared" ca="1" si="14"/>
        <v>0</v>
      </c>
      <c r="K103" s="309">
        <f t="shared" ca="1" si="15"/>
        <v>0</v>
      </c>
      <c r="L103" s="316"/>
      <c r="M103" s="289" t="str">
        <f t="shared" ca="1" si="16"/>
        <v/>
      </c>
      <c r="N103" s="316"/>
      <c r="O103" s="310"/>
      <c r="P103" s="310"/>
      <c r="Q103" s="291"/>
      <c r="R103" s="283"/>
      <c r="S103" s="311"/>
      <c r="T103" s="288"/>
      <c r="U103" s="288"/>
      <c r="V103" s="288"/>
    </row>
    <row r="104" spans="1:22" s="317" customFormat="1" hidden="1">
      <c r="A104" s="283"/>
      <c r="B104" s="449"/>
      <c r="C104" s="450"/>
      <c r="D104" s="305" t="str">
        <f ca="1">IF(ISERROR(OFFSET('HARGA SATUAN'!$D$6,MATCH(RAB!C104,'HARGA SATUAN'!$C$7:$C$1495,0),0)),"",OFFSET('HARGA SATUAN'!$D$6,MATCH(RAB!C104,'HARGA SATUAN'!$C$7:$C$1495,0),0))</f>
        <v/>
      </c>
      <c r="E104" s="306" t="str">
        <f ca="1">IF(B104="+","Unit",IF(ISERROR(OFFSET('HARGA SATUAN'!$E$6,MATCH(RAB!C104,'HARGA SATUAN'!$C$7:$C$1495,0),0)),"",OFFSET('HARGA SATUAN'!$E$6,MATCH(RAB!C104,'HARGA SATUAN'!$C$7:$C$1495,0),0)))</f>
        <v/>
      </c>
      <c r="F104" s="453"/>
      <c r="G104" s="307">
        <f ca="1">IF(ISERROR(OFFSET('HARGA SATUAN'!$I$6,MATCH(RAB!C104,'HARGA SATUAN'!$C$7:$C$1495,0),0)),0,OFFSET('HARGA SATUAN'!$I$6,MATCH(RAB!C104,'HARGA SATUAN'!$C$7:$C$1495,0),0))</f>
        <v>0</v>
      </c>
      <c r="H104" s="308">
        <f t="shared" ca="1" si="12"/>
        <v>0</v>
      </c>
      <c r="I104" s="308">
        <f t="shared" ca="1" si="13"/>
        <v>0</v>
      </c>
      <c r="J104" s="308">
        <f t="shared" ca="1" si="14"/>
        <v>0</v>
      </c>
      <c r="K104" s="309">
        <f t="shared" ca="1" si="15"/>
        <v>0</v>
      </c>
      <c r="L104" s="316"/>
      <c r="M104" s="289" t="str">
        <f t="shared" ca="1" si="16"/>
        <v/>
      </c>
      <c r="N104" s="316"/>
      <c r="O104" s="310"/>
      <c r="P104" s="310"/>
      <c r="Q104" s="291"/>
      <c r="R104" s="283"/>
      <c r="S104" s="311"/>
      <c r="T104" s="288"/>
      <c r="U104" s="288"/>
      <c r="V104" s="288"/>
    </row>
    <row r="105" spans="1:22" s="317" customFormat="1" hidden="1">
      <c r="A105" s="283"/>
      <c r="B105" s="449"/>
      <c r="C105" s="450"/>
      <c r="D105" s="305" t="str">
        <f ca="1">IF(ISERROR(OFFSET('HARGA SATUAN'!$D$6,MATCH(RAB!C105,'HARGA SATUAN'!$C$7:$C$1495,0),0)),"",OFFSET('HARGA SATUAN'!$D$6,MATCH(RAB!C105,'HARGA SATUAN'!$C$7:$C$1495,0),0))</f>
        <v/>
      </c>
      <c r="E105" s="306" t="str">
        <f ca="1">IF(B105="+","Unit",IF(ISERROR(OFFSET('HARGA SATUAN'!$E$6,MATCH(RAB!C105,'HARGA SATUAN'!$C$7:$C$1495,0),0)),"",OFFSET('HARGA SATUAN'!$E$6,MATCH(RAB!C105,'HARGA SATUAN'!$C$7:$C$1495,0),0)))</f>
        <v/>
      </c>
      <c r="F105" s="453"/>
      <c r="G105" s="307">
        <f ca="1">IF(ISERROR(OFFSET('HARGA SATUAN'!$I$6,MATCH(RAB!C105,'HARGA SATUAN'!$C$7:$C$1495,0),0)),0,OFFSET('HARGA SATUAN'!$I$6,MATCH(RAB!C105,'HARGA SATUAN'!$C$7:$C$1495,0),0))</f>
        <v>0</v>
      </c>
      <c r="H105" s="308">
        <f t="shared" ca="1" si="12"/>
        <v>0</v>
      </c>
      <c r="I105" s="308">
        <f t="shared" ca="1" si="13"/>
        <v>0</v>
      </c>
      <c r="J105" s="308">
        <f t="shared" ca="1" si="14"/>
        <v>0</v>
      </c>
      <c r="K105" s="309">
        <f t="shared" ca="1" si="15"/>
        <v>0</v>
      </c>
      <c r="L105" s="316"/>
      <c r="M105" s="289" t="str">
        <f t="shared" ca="1" si="16"/>
        <v/>
      </c>
      <c r="N105" s="316"/>
      <c r="O105" s="310"/>
      <c r="P105" s="310"/>
      <c r="Q105" s="291"/>
      <c r="R105" s="283"/>
      <c r="S105" s="311"/>
      <c r="T105" s="288"/>
      <c r="U105" s="288"/>
      <c r="V105" s="288"/>
    </row>
    <row r="106" spans="1:22" s="317" customFormat="1" hidden="1">
      <c r="A106" s="283"/>
      <c r="B106" s="449"/>
      <c r="C106" s="450"/>
      <c r="D106" s="305" t="str">
        <f ca="1">IF(ISERROR(OFFSET('HARGA SATUAN'!$D$6,MATCH(RAB!C106,'HARGA SATUAN'!$C$7:$C$1495,0),0)),"",OFFSET('HARGA SATUAN'!$D$6,MATCH(RAB!C106,'HARGA SATUAN'!$C$7:$C$1495,0),0))</f>
        <v/>
      </c>
      <c r="E106" s="306" t="str">
        <f ca="1">IF(B106="+","Unit",IF(ISERROR(OFFSET('HARGA SATUAN'!$E$6,MATCH(RAB!C106,'HARGA SATUAN'!$C$7:$C$1495,0),0)),"",OFFSET('HARGA SATUAN'!$E$6,MATCH(RAB!C106,'HARGA SATUAN'!$C$7:$C$1495,0),0)))</f>
        <v/>
      </c>
      <c r="F106" s="453"/>
      <c r="G106" s="307">
        <f ca="1">IF(ISERROR(OFFSET('HARGA SATUAN'!$I$6,MATCH(RAB!C106,'HARGA SATUAN'!$C$7:$C$1495,0),0)),0,OFFSET('HARGA SATUAN'!$I$6,MATCH(RAB!C106,'HARGA SATUAN'!$C$7:$C$1495,0),0))</f>
        <v>0</v>
      </c>
      <c r="H106" s="308">
        <f t="shared" ca="1" si="12"/>
        <v>0</v>
      </c>
      <c r="I106" s="308">
        <f t="shared" ca="1" si="13"/>
        <v>0</v>
      </c>
      <c r="J106" s="308">
        <f t="shared" ca="1" si="14"/>
        <v>0</v>
      </c>
      <c r="K106" s="309">
        <f t="shared" ca="1" si="15"/>
        <v>0</v>
      </c>
      <c r="L106" s="316"/>
      <c r="M106" s="289" t="str">
        <f t="shared" ca="1" si="16"/>
        <v/>
      </c>
      <c r="N106" s="316"/>
      <c r="O106" s="310"/>
      <c r="P106" s="310"/>
      <c r="Q106" s="291"/>
      <c r="R106" s="283"/>
      <c r="S106" s="311"/>
      <c r="T106" s="288"/>
      <c r="U106" s="288"/>
      <c r="V106" s="288"/>
    </row>
    <row r="107" spans="1:22" s="317" customFormat="1" hidden="1">
      <c r="A107" s="283"/>
      <c r="B107" s="449"/>
      <c r="C107" s="450"/>
      <c r="D107" s="305" t="str">
        <f ca="1">IF(ISERROR(OFFSET('HARGA SATUAN'!$D$6,MATCH(RAB!C107,'HARGA SATUAN'!$C$7:$C$1495,0),0)),"",OFFSET('HARGA SATUAN'!$D$6,MATCH(RAB!C107,'HARGA SATUAN'!$C$7:$C$1495,0),0))</f>
        <v/>
      </c>
      <c r="E107" s="306" t="str">
        <f ca="1">IF(B107="+","Unit",IF(ISERROR(OFFSET('HARGA SATUAN'!$E$6,MATCH(RAB!C107,'HARGA SATUAN'!$C$7:$C$1495,0),0)),"",OFFSET('HARGA SATUAN'!$E$6,MATCH(RAB!C107,'HARGA SATUAN'!$C$7:$C$1495,0),0)))</f>
        <v/>
      </c>
      <c r="F107" s="453"/>
      <c r="G107" s="307">
        <f ca="1">IF(ISERROR(OFFSET('HARGA SATUAN'!$I$6,MATCH(RAB!C107,'HARGA SATUAN'!$C$7:$C$1495,0),0)),0,OFFSET('HARGA SATUAN'!$I$6,MATCH(RAB!C107,'HARGA SATUAN'!$C$7:$C$1495,0),0))</f>
        <v>0</v>
      </c>
      <c r="H107" s="308">
        <f t="shared" ca="1" si="12"/>
        <v>0</v>
      </c>
      <c r="I107" s="308">
        <f t="shared" ca="1" si="13"/>
        <v>0</v>
      </c>
      <c r="J107" s="308">
        <f t="shared" ca="1" si="14"/>
        <v>0</v>
      </c>
      <c r="K107" s="309">
        <f t="shared" ca="1" si="15"/>
        <v>0</v>
      </c>
      <c r="L107" s="316"/>
      <c r="M107" s="289" t="str">
        <f t="shared" ca="1" si="16"/>
        <v/>
      </c>
      <c r="N107" s="316"/>
      <c r="O107" s="310"/>
      <c r="P107" s="310"/>
      <c r="Q107" s="291"/>
      <c r="R107" s="283"/>
      <c r="S107" s="311"/>
      <c r="T107" s="288"/>
      <c r="U107" s="288"/>
      <c r="V107" s="288"/>
    </row>
    <row r="108" spans="1:22" s="317" customFormat="1" hidden="1">
      <c r="A108" s="283"/>
      <c r="B108" s="449"/>
      <c r="C108" s="450"/>
      <c r="D108" s="305" t="str">
        <f ca="1">IF(ISERROR(OFFSET('HARGA SATUAN'!$D$6,MATCH(RAB!C108,'HARGA SATUAN'!$C$7:$C$1495,0),0)),"",OFFSET('HARGA SATUAN'!$D$6,MATCH(RAB!C108,'HARGA SATUAN'!$C$7:$C$1495,0),0))</f>
        <v/>
      </c>
      <c r="E108" s="306" t="str">
        <f ca="1">IF(B108="+","Unit",IF(ISERROR(OFFSET('HARGA SATUAN'!$E$6,MATCH(RAB!C108,'HARGA SATUAN'!$C$7:$C$1495,0),0)),"",OFFSET('HARGA SATUAN'!$E$6,MATCH(RAB!C108,'HARGA SATUAN'!$C$7:$C$1495,0),0)))</f>
        <v/>
      </c>
      <c r="F108" s="453"/>
      <c r="G108" s="307">
        <f ca="1">IF(ISERROR(OFFSET('HARGA SATUAN'!$I$6,MATCH(RAB!C108,'HARGA SATUAN'!$C$7:$C$1495,0),0)),0,OFFSET('HARGA SATUAN'!$I$6,MATCH(RAB!C108,'HARGA SATUAN'!$C$7:$C$1495,0),0))</f>
        <v>0</v>
      </c>
      <c r="H108" s="308">
        <f t="shared" ca="1" si="12"/>
        <v>0</v>
      </c>
      <c r="I108" s="308">
        <f t="shared" ca="1" si="13"/>
        <v>0</v>
      </c>
      <c r="J108" s="308">
        <f t="shared" ca="1" si="14"/>
        <v>0</v>
      </c>
      <c r="K108" s="309">
        <f t="shared" ca="1" si="15"/>
        <v>0</v>
      </c>
      <c r="L108" s="316"/>
      <c r="M108" s="289" t="str">
        <f t="shared" ca="1" si="16"/>
        <v/>
      </c>
      <c r="N108" s="316"/>
      <c r="O108" s="310"/>
      <c r="P108" s="310"/>
      <c r="Q108" s="291"/>
      <c r="R108" s="283"/>
      <c r="S108" s="311"/>
      <c r="T108" s="288"/>
      <c r="U108" s="288"/>
      <c r="V108" s="288"/>
    </row>
    <row r="109" spans="1:22" s="317" customFormat="1" hidden="1">
      <c r="A109" s="283"/>
      <c r="B109" s="449"/>
      <c r="C109" s="450"/>
      <c r="D109" s="305" t="str">
        <f ca="1">IF(ISERROR(OFFSET('HARGA SATUAN'!$D$6,MATCH(RAB!C109,'HARGA SATUAN'!$C$7:$C$1495,0),0)),"",OFFSET('HARGA SATUAN'!$D$6,MATCH(RAB!C109,'HARGA SATUAN'!$C$7:$C$1495,0),0))</f>
        <v/>
      </c>
      <c r="E109" s="306" t="str">
        <f ca="1">IF(B109="+","Unit",IF(ISERROR(OFFSET('HARGA SATUAN'!$E$6,MATCH(RAB!C109,'HARGA SATUAN'!$C$7:$C$1495,0),0)),"",OFFSET('HARGA SATUAN'!$E$6,MATCH(RAB!C109,'HARGA SATUAN'!$C$7:$C$1495,0),0)))</f>
        <v/>
      </c>
      <c r="F109" s="453"/>
      <c r="G109" s="307">
        <f ca="1">IF(ISERROR(OFFSET('HARGA SATUAN'!$I$6,MATCH(RAB!C109,'HARGA SATUAN'!$C$7:$C$1495,0),0)),0,OFFSET('HARGA SATUAN'!$I$6,MATCH(RAB!C109,'HARGA SATUAN'!$C$7:$C$1495,0),0))</f>
        <v>0</v>
      </c>
      <c r="H109" s="308">
        <f t="shared" ca="1" si="12"/>
        <v>0</v>
      </c>
      <c r="I109" s="308">
        <f t="shared" ca="1" si="13"/>
        <v>0</v>
      </c>
      <c r="J109" s="308">
        <f t="shared" ca="1" si="14"/>
        <v>0</v>
      </c>
      <c r="K109" s="309">
        <f t="shared" ca="1" si="15"/>
        <v>0</v>
      </c>
      <c r="L109" s="316"/>
      <c r="M109" s="289" t="str">
        <f t="shared" ca="1" si="16"/>
        <v/>
      </c>
      <c r="N109" s="316"/>
      <c r="O109" s="310"/>
      <c r="P109" s="310"/>
      <c r="Q109" s="291"/>
      <c r="R109" s="283"/>
      <c r="S109" s="311"/>
      <c r="T109" s="288"/>
      <c r="U109" s="288"/>
      <c r="V109" s="288"/>
    </row>
    <row r="110" spans="1:22" s="317" customFormat="1" hidden="1">
      <c r="A110" s="283"/>
      <c r="B110" s="449"/>
      <c r="C110" s="450"/>
      <c r="D110" s="305" t="str">
        <f ca="1">IF(ISERROR(OFFSET('HARGA SATUAN'!$D$6,MATCH(RAB!C110,'HARGA SATUAN'!$C$7:$C$1495,0),0)),"",OFFSET('HARGA SATUAN'!$D$6,MATCH(RAB!C110,'HARGA SATUAN'!$C$7:$C$1495,0),0))</f>
        <v/>
      </c>
      <c r="E110" s="306" t="str">
        <f ca="1">IF(B110="+","Unit",IF(ISERROR(OFFSET('HARGA SATUAN'!$E$6,MATCH(RAB!C110,'HARGA SATUAN'!$C$7:$C$1495,0),0)),"",OFFSET('HARGA SATUAN'!$E$6,MATCH(RAB!C110,'HARGA SATUAN'!$C$7:$C$1495,0),0)))</f>
        <v/>
      </c>
      <c r="F110" s="453"/>
      <c r="G110" s="307">
        <f ca="1">IF(ISERROR(OFFSET('HARGA SATUAN'!$I$6,MATCH(RAB!C110,'HARGA SATUAN'!$C$7:$C$1495,0),0)),0,OFFSET('HARGA SATUAN'!$I$6,MATCH(RAB!C110,'HARGA SATUAN'!$C$7:$C$1495,0),0))</f>
        <v>0</v>
      </c>
      <c r="H110" s="308">
        <f t="shared" ca="1" si="12"/>
        <v>0</v>
      </c>
      <c r="I110" s="308">
        <f t="shared" ca="1" si="13"/>
        <v>0</v>
      </c>
      <c r="J110" s="308">
        <f t="shared" ca="1" si="14"/>
        <v>0</v>
      </c>
      <c r="K110" s="309">
        <f t="shared" ca="1" si="15"/>
        <v>0</v>
      </c>
      <c r="L110" s="316"/>
      <c r="M110" s="289" t="str">
        <f t="shared" ca="1" si="16"/>
        <v/>
      </c>
      <c r="N110" s="316"/>
      <c r="O110" s="310"/>
      <c r="P110" s="310"/>
      <c r="Q110" s="291"/>
      <c r="R110" s="283"/>
      <c r="S110" s="311"/>
      <c r="T110" s="288"/>
      <c r="U110" s="288"/>
      <c r="V110" s="288"/>
    </row>
    <row r="111" spans="1:22" s="317" customFormat="1" hidden="1">
      <c r="A111" s="283"/>
      <c r="B111" s="449"/>
      <c r="C111" s="450"/>
      <c r="D111" s="305" t="str">
        <f ca="1">IF(ISERROR(OFFSET('HARGA SATUAN'!$D$6,MATCH(RAB!C111,'HARGA SATUAN'!$C$7:$C$1495,0),0)),"",OFFSET('HARGA SATUAN'!$D$6,MATCH(RAB!C111,'HARGA SATUAN'!$C$7:$C$1495,0),0))</f>
        <v/>
      </c>
      <c r="E111" s="306" t="str">
        <f ca="1">IF(B111="+","Unit",IF(ISERROR(OFFSET('HARGA SATUAN'!$E$6,MATCH(RAB!C111,'HARGA SATUAN'!$C$7:$C$1495,0),0)),"",OFFSET('HARGA SATUAN'!$E$6,MATCH(RAB!C111,'HARGA SATUAN'!$C$7:$C$1495,0),0)))</f>
        <v/>
      </c>
      <c r="F111" s="453"/>
      <c r="G111" s="307">
        <f ca="1">IF(ISERROR(OFFSET('HARGA SATUAN'!$I$6,MATCH(RAB!C111,'HARGA SATUAN'!$C$7:$C$1495,0),0)),0,OFFSET('HARGA SATUAN'!$I$6,MATCH(RAB!C111,'HARGA SATUAN'!$C$7:$C$1495,0),0))</f>
        <v>0</v>
      </c>
      <c r="H111" s="308">
        <f t="shared" ca="1" si="12"/>
        <v>0</v>
      </c>
      <c r="I111" s="308">
        <f t="shared" ca="1" si="13"/>
        <v>0</v>
      </c>
      <c r="J111" s="308">
        <f t="shared" ca="1" si="14"/>
        <v>0</v>
      </c>
      <c r="K111" s="309">
        <f t="shared" ca="1" si="15"/>
        <v>0</v>
      </c>
      <c r="L111" s="316"/>
      <c r="M111" s="289" t="str">
        <f t="shared" ca="1" si="16"/>
        <v/>
      </c>
      <c r="N111" s="316"/>
      <c r="O111" s="310"/>
      <c r="P111" s="310"/>
      <c r="Q111" s="291"/>
      <c r="R111" s="283"/>
      <c r="S111" s="311"/>
      <c r="T111" s="288"/>
      <c r="U111" s="288"/>
      <c r="V111" s="288"/>
    </row>
    <row r="112" spans="1:22" s="317" customFormat="1" hidden="1">
      <c r="A112" s="283"/>
      <c r="B112" s="449"/>
      <c r="C112" s="450"/>
      <c r="D112" s="305" t="str">
        <f ca="1">IF(ISERROR(OFFSET('HARGA SATUAN'!$D$6,MATCH(RAB!C112,'HARGA SATUAN'!$C$7:$C$1495,0),0)),"",OFFSET('HARGA SATUAN'!$D$6,MATCH(RAB!C112,'HARGA SATUAN'!$C$7:$C$1495,0),0))</f>
        <v/>
      </c>
      <c r="E112" s="306" t="str">
        <f ca="1">IF(B112="+","Unit",IF(ISERROR(OFFSET('HARGA SATUAN'!$E$6,MATCH(RAB!C112,'HARGA SATUAN'!$C$7:$C$1495,0),0)),"",OFFSET('HARGA SATUAN'!$E$6,MATCH(RAB!C112,'HARGA SATUAN'!$C$7:$C$1495,0),0)))</f>
        <v/>
      </c>
      <c r="F112" s="453"/>
      <c r="G112" s="307">
        <f ca="1">IF(ISERROR(OFFSET('HARGA SATUAN'!$I$6,MATCH(RAB!C112,'HARGA SATUAN'!$C$7:$C$1495,0),0)),0,OFFSET('HARGA SATUAN'!$I$6,MATCH(RAB!C112,'HARGA SATUAN'!$C$7:$C$1495,0),0))</f>
        <v>0</v>
      </c>
      <c r="H112" s="308">
        <f t="shared" ca="1" si="12"/>
        <v>0</v>
      </c>
      <c r="I112" s="308">
        <f t="shared" ca="1" si="13"/>
        <v>0</v>
      </c>
      <c r="J112" s="308">
        <f t="shared" ca="1" si="14"/>
        <v>0</v>
      </c>
      <c r="K112" s="309">
        <f t="shared" ca="1" si="15"/>
        <v>0</v>
      </c>
      <c r="L112" s="316"/>
      <c r="M112" s="289" t="str">
        <f t="shared" ca="1" si="16"/>
        <v/>
      </c>
      <c r="N112" s="316"/>
      <c r="O112" s="310"/>
      <c r="P112" s="310"/>
      <c r="Q112" s="291"/>
      <c r="R112" s="283"/>
      <c r="S112" s="311"/>
      <c r="T112" s="288"/>
      <c r="U112" s="288"/>
      <c r="V112" s="288"/>
    </row>
    <row r="113" spans="1:22" s="317" customFormat="1">
      <c r="A113" s="283"/>
      <c r="B113" s="418" t="s">
        <v>1602</v>
      </c>
      <c r="C113" s="421" t="s">
        <v>1604</v>
      </c>
      <c r="D113" s="305" t="str">
        <f ca="1">IF(ISERROR(OFFSET('HARGA SATUAN'!$D$6,MATCH(RAB!C113,'HARGA SATUAN'!$C$7:$C$1495,0),0)),"",OFFSET('HARGA SATUAN'!$D$6,MATCH(RAB!C113,'HARGA SATUAN'!$C$7:$C$1495,0),0))</f>
        <v/>
      </c>
      <c r="E113" s="306" t="str">
        <f ca="1">IF(B113="+","Unit",IF(ISERROR(OFFSET('HARGA SATUAN'!$E$6,MATCH(RAB!C113,'HARGA SATUAN'!$C$7:$C$1495,0),0)),"",OFFSET('HARGA SATUAN'!$E$6,MATCH(RAB!C113,'HARGA SATUAN'!$C$7:$C$1495,0),0)))</f>
        <v/>
      </c>
      <c r="F113" s="454"/>
      <c r="G113" s="307">
        <f ca="1">IF(ISERROR(OFFSET('HARGA SATUAN'!$I$6,MATCH(RAB!C113,'HARGA SATUAN'!$C$7:$C$1495,0),0)),0,OFFSET('HARGA SATUAN'!$I$6,MATCH(RAB!C113,'HARGA SATUAN'!$C$7:$C$1495,0),0))</f>
        <v>0</v>
      </c>
      <c r="H113" s="308">
        <f t="shared" ca="1" si="12"/>
        <v>0</v>
      </c>
      <c r="I113" s="308">
        <f t="shared" ca="1" si="13"/>
        <v>0</v>
      </c>
      <c r="J113" s="308">
        <f t="shared" ca="1" si="14"/>
        <v>0</v>
      </c>
      <c r="K113" s="309">
        <f t="shared" ca="1" si="15"/>
        <v>0</v>
      </c>
      <c r="L113" s="316"/>
      <c r="M113" s="289" t="str">
        <f t="shared" ca="1" si="16"/>
        <v/>
      </c>
      <c r="N113" s="316"/>
      <c r="O113" s="310"/>
      <c r="P113" s="310"/>
      <c r="Q113" s="291"/>
      <c r="R113" s="283"/>
      <c r="S113" s="311"/>
      <c r="T113" s="288"/>
      <c r="U113" s="288"/>
      <c r="V113" s="288"/>
    </row>
    <row r="114" spans="1:22" s="317" customFormat="1">
      <c r="A114" s="283"/>
      <c r="B114" s="318">
        <v>1</v>
      </c>
      <c r="C114" s="109" t="s">
        <v>66</v>
      </c>
      <c r="D114" s="305" t="str">
        <f ca="1">IF(ISERROR(OFFSET('HARGA SATUAN'!$D$6,MATCH(RAB!C114,'HARGA SATUAN'!$C$7:$C$1495,0),0)),"",OFFSET('HARGA SATUAN'!$D$6,MATCH(RAB!C114,'HARGA SATUAN'!$C$7:$C$1495,0),0))</f>
        <v>MDU-KD</v>
      </c>
      <c r="E114" s="306" t="str">
        <f ca="1">IF(B114="+","Unit",IF(ISERROR(OFFSET('HARGA SATUAN'!$E$6,MATCH(RAB!C114,'HARGA SATUAN'!$C$7:$C$1495,0),0)),"",OFFSET('HARGA SATUAN'!$E$6,MATCH(RAB!C114,'HARGA SATUAN'!$C$7:$C$1495,0),0)))</f>
        <v>Mtr</v>
      </c>
      <c r="F114" s="724">
        <v>200</v>
      </c>
      <c r="G114" s="307">
        <f ca="1">IF(ISERROR(OFFSET('HARGA SATUAN'!$I$6,MATCH(RAB!C114,'HARGA SATUAN'!$C$7:$C$1495,0),0)),0,OFFSET('HARGA SATUAN'!$I$6,MATCH(RAB!C114,'HARGA SATUAN'!$C$7:$C$1495,0),0))</f>
        <v>25300</v>
      </c>
      <c r="H114" s="308">
        <f t="shared" ca="1" si="12"/>
        <v>5060000</v>
      </c>
      <c r="I114" s="308">
        <f t="shared" ca="1" si="13"/>
        <v>0</v>
      </c>
      <c r="J114" s="308">
        <f t="shared" ca="1" si="14"/>
        <v>0</v>
      </c>
      <c r="K114" s="309">
        <f t="shared" ca="1" si="15"/>
        <v>5060000</v>
      </c>
      <c r="L114" s="316"/>
      <c r="M114" s="289"/>
      <c r="N114" s="316"/>
      <c r="O114" s="310"/>
      <c r="P114" s="310"/>
      <c r="Q114" s="291"/>
      <c r="R114" s="283"/>
      <c r="S114" s="311"/>
      <c r="T114" s="288"/>
      <c r="U114" s="288"/>
      <c r="V114" s="288"/>
    </row>
    <row r="115" spans="1:22" s="317" customFormat="1">
      <c r="A115" s="283"/>
      <c r="B115" s="318">
        <v>2</v>
      </c>
      <c r="C115" s="109" t="s">
        <v>299</v>
      </c>
      <c r="D115" s="305" t="str">
        <f ca="1">IF(ISERROR(OFFSET('HARGA SATUAN'!$D$6,MATCH(RAB!C115,'HARGA SATUAN'!$C$7:$C$1495,0),0)),"",OFFSET('HARGA SATUAN'!$D$6,MATCH(RAB!C115,'HARGA SATUAN'!$C$7:$C$1495,0),0))</f>
        <v>JASA</v>
      </c>
      <c r="E115" s="306" t="str">
        <f ca="1">IF(B115="+","Unit",IF(ISERROR(OFFSET('HARGA SATUAN'!$E$6,MATCH(RAB!C115,'HARGA SATUAN'!$C$7:$C$1495,0),0)),"",OFFSET('HARGA SATUAN'!$E$6,MATCH(RAB!C115,'HARGA SATUAN'!$C$7:$C$1495,0),0)))</f>
        <v>Per 50 m</v>
      </c>
      <c r="F115" s="724">
        <v>5</v>
      </c>
      <c r="G115" s="307">
        <f ca="1">IF(ISERROR(OFFSET('HARGA SATUAN'!$I$6,MATCH(RAB!C115,'HARGA SATUAN'!$C$7:$C$1495,0),0)),0,OFFSET('HARGA SATUAN'!$I$6,MATCH(RAB!C115,'HARGA SATUAN'!$C$7:$C$1495,0),0))</f>
        <v>371300</v>
      </c>
      <c r="H115" s="308">
        <f t="shared" ca="1" si="12"/>
        <v>0</v>
      </c>
      <c r="I115" s="308">
        <f t="shared" ca="1" si="13"/>
        <v>0</v>
      </c>
      <c r="J115" s="308">
        <f t="shared" ca="1" si="14"/>
        <v>1856500</v>
      </c>
      <c r="K115" s="309">
        <f t="shared" ca="1" si="15"/>
        <v>1856500</v>
      </c>
      <c r="L115" s="316"/>
      <c r="M115" s="289"/>
      <c r="N115" s="316"/>
      <c r="O115" s="310"/>
      <c r="P115" s="310"/>
      <c r="Q115" s="291"/>
      <c r="R115" s="283"/>
      <c r="S115" s="311"/>
      <c r="T115" s="288"/>
      <c r="U115" s="288"/>
      <c r="V115" s="288"/>
    </row>
    <row r="116" spans="1:22" s="317" customFormat="1">
      <c r="A116" s="283"/>
      <c r="B116" s="418"/>
      <c r="C116" s="421"/>
      <c r="D116" s="305" t="str">
        <f ca="1">IF(ISERROR(OFFSET('HARGA SATUAN'!$D$6,MATCH(RAB!C116,'HARGA SATUAN'!$C$7:$C$1495,0),0)),"",OFFSET('HARGA SATUAN'!$D$6,MATCH(RAB!C116,'HARGA SATUAN'!$C$7:$C$1495,0),0))</f>
        <v/>
      </c>
      <c r="E116" s="306" t="str">
        <f ca="1">IF(B116="+","Unit",IF(ISERROR(OFFSET('HARGA SATUAN'!$E$6,MATCH(RAB!C116,'HARGA SATUAN'!$C$7:$C$1495,0),0)),"",OFFSET('HARGA SATUAN'!$E$6,MATCH(RAB!C116,'HARGA SATUAN'!$C$7:$C$1495,0),0)))</f>
        <v/>
      </c>
      <c r="F116" s="454"/>
      <c r="G116" s="307">
        <f ca="1">IF(ISERROR(OFFSET('HARGA SATUAN'!$I$6,MATCH(RAB!C116,'HARGA SATUAN'!$C$7:$C$1495,0),0)),0,OFFSET('HARGA SATUAN'!$I$6,MATCH(RAB!C116,'HARGA SATUAN'!$C$7:$C$1495,0),0))</f>
        <v>0</v>
      </c>
      <c r="H116" s="308">
        <f t="shared" ca="1" si="12"/>
        <v>0</v>
      </c>
      <c r="I116" s="308">
        <f t="shared" ca="1" si="13"/>
        <v>0</v>
      </c>
      <c r="J116" s="308">
        <f t="shared" ca="1" si="14"/>
        <v>0</v>
      </c>
      <c r="K116" s="309">
        <f t="shared" ca="1" si="15"/>
        <v>0</v>
      </c>
      <c r="L116" s="316"/>
      <c r="M116" s="289"/>
      <c r="N116" s="316"/>
      <c r="O116" s="310"/>
      <c r="P116" s="310"/>
      <c r="Q116" s="291"/>
      <c r="R116" s="283"/>
      <c r="S116" s="311"/>
      <c r="T116" s="288"/>
      <c r="U116" s="288"/>
      <c r="V116" s="288"/>
    </row>
    <row r="117" spans="1:22" s="317" customFormat="1">
      <c r="A117" s="283"/>
      <c r="B117" s="318"/>
      <c r="C117" s="319"/>
      <c r="D117" s="305" t="str">
        <f ca="1">IF(ISERROR(OFFSET('HARGA SATUAN'!$D$6,MATCH(RAB!C117,'HARGA SATUAN'!$C$7:$C$1495,0),0)),"",OFFSET('HARGA SATUAN'!$D$6,MATCH(RAB!C117,'HARGA SATUAN'!$C$7:$C$1495,0),0))</f>
        <v/>
      </c>
      <c r="E117" s="306" t="str">
        <f ca="1">IF(B117="+","Unit",IF(ISERROR(OFFSET('HARGA SATUAN'!$E$6,MATCH(RAB!C117,'HARGA SATUAN'!$C$7:$C$1495,0),0)),"",OFFSET('HARGA SATUAN'!$E$6,MATCH(RAB!C117,'HARGA SATUAN'!$C$7:$C$1495,0),0)))</f>
        <v/>
      </c>
      <c r="F117" s="419"/>
      <c r="G117" s="307">
        <f ca="1">IF(ISERROR(OFFSET('HARGA SATUAN'!$I$6,MATCH(RAB!C117,'HARGA SATUAN'!$C$7:$C$1495,0),0)),0,OFFSET('HARGA SATUAN'!$I$6,MATCH(RAB!C117,'HARGA SATUAN'!$C$7:$C$1495,0),0))</f>
        <v>0</v>
      </c>
      <c r="H117" s="308">
        <f t="shared" ca="1" si="12"/>
        <v>0</v>
      </c>
      <c r="I117" s="308">
        <f t="shared" ca="1" si="13"/>
        <v>0</v>
      </c>
      <c r="J117" s="308">
        <f t="shared" ca="1" si="14"/>
        <v>0</v>
      </c>
      <c r="K117" s="309">
        <f t="shared" ca="1" si="15"/>
        <v>0</v>
      </c>
      <c r="L117" s="316"/>
      <c r="M117" s="289" t="e">
        <f>IF(AND(F117&gt;0,#REF!=0),"",IF(AND(ISBLANK(F117)=FALSE,K117=0),"WARNING",""))</f>
        <v>#REF!</v>
      </c>
      <c r="N117" s="316"/>
      <c r="O117" s="310"/>
      <c r="P117" s="310"/>
      <c r="Q117" s="291"/>
      <c r="R117" s="283"/>
      <c r="S117" s="311"/>
      <c r="T117" s="288"/>
      <c r="U117" s="288"/>
      <c r="V117" s="288"/>
    </row>
    <row r="118" spans="1:22" s="317" customFormat="1">
      <c r="A118" s="283"/>
      <c r="B118" s="418" t="s">
        <v>1610</v>
      </c>
      <c r="C118" s="421" t="s">
        <v>1606</v>
      </c>
      <c r="D118" s="305" t="str">
        <f ca="1">IF(ISERROR(OFFSET('HARGA SATUAN'!$D$6,MATCH(RAB!C118,'HARGA SATUAN'!$C$7:$C$1495,0),0)),"",OFFSET('HARGA SATUAN'!$D$6,MATCH(RAB!C118,'HARGA SATUAN'!$C$7:$C$1495,0),0))</f>
        <v/>
      </c>
      <c r="E118" s="306" t="str">
        <f ca="1">IF(B118="+","Unit",IF(ISERROR(OFFSET('HARGA SATUAN'!$E$6,MATCH(RAB!C118,'HARGA SATUAN'!$C$7:$C$1495,0),0)),"",OFFSET('HARGA SATUAN'!$E$6,MATCH(RAB!C118,'HARGA SATUAN'!$C$7:$C$1495,0),0)))</f>
        <v/>
      </c>
      <c r="F118" s="455"/>
      <c r="G118" s="307">
        <f ca="1">IF(ISERROR(OFFSET('HARGA SATUAN'!$I$6,MATCH(RAB!C118,'HARGA SATUAN'!$C$7:$C$1495,0),0)),0,OFFSET('HARGA SATUAN'!$I$6,MATCH(RAB!C118,'HARGA SATUAN'!$C$7:$C$1495,0),0))</f>
        <v>0</v>
      </c>
      <c r="H118" s="308">
        <f t="shared" ref="H118:H134" ca="1" si="17">IF(OR(D118="MDU",D118="MDU-KD"),(IF($O$3="RAB NON MDU","PLN KD",G118*F118)),0)</f>
        <v>0</v>
      </c>
      <c r="I118" s="308">
        <f t="shared" ref="I118:I134" ca="1" si="18">IF(D118="HDW",G118*F118,0)</f>
        <v>0</v>
      </c>
      <c r="J118" s="308">
        <f t="shared" ref="J118:J134" ca="1" si="19">IF(D118="JASA",G118*F118,0)</f>
        <v>0</v>
      </c>
      <c r="K118" s="309">
        <f t="shared" ref="K118:K134" ca="1" si="20">SUM(H118:J118)</f>
        <v>0</v>
      </c>
      <c r="L118" s="316"/>
      <c r="M118" s="289" t="str">
        <f t="shared" ca="1" si="16"/>
        <v/>
      </c>
      <c r="N118" s="316"/>
      <c r="O118" s="310"/>
      <c r="P118" s="310"/>
      <c r="Q118" s="291"/>
      <c r="R118" s="283"/>
      <c r="S118" s="311"/>
      <c r="T118" s="288"/>
      <c r="U118" s="288"/>
      <c r="V118" s="288"/>
    </row>
    <row r="119" spans="1:22" s="317" customFormat="1">
      <c r="A119" s="283"/>
      <c r="B119" s="460" t="s">
        <v>1035</v>
      </c>
      <c r="C119" s="461" t="s">
        <v>1645</v>
      </c>
      <c r="D119" s="305" t="str">
        <f ca="1">IF(ISERROR(OFFSET('HARGA SATUAN'!$D$6,MATCH(RAB!C119,'HARGA SATUAN'!$C$7:$C$1495,0),0)),"",OFFSET('HARGA SATUAN'!$D$6,MATCH(RAB!C119,'HARGA SATUAN'!$C$7:$C$1495,0),0))</f>
        <v/>
      </c>
      <c r="E119" s="306" t="str">
        <f ca="1">IF(B119="+","Unit",IF(ISERROR(OFFSET('HARGA SATUAN'!$E$6,MATCH(RAB!C119,'HARGA SATUAN'!$C$7:$C$1495,0),0)),"",OFFSET('HARGA SATUAN'!$E$6,MATCH(RAB!C119,'HARGA SATUAN'!$C$7:$C$1495,0),0)))</f>
        <v>Unit</v>
      </c>
      <c r="F119" s="724">
        <v>1</v>
      </c>
      <c r="G119" s="307">
        <f ca="1">IF(ISERROR(OFFSET('HARGA SATUAN'!$I$6,MATCH(RAB!C119,'HARGA SATUAN'!$C$7:$C$1495,0),0)),0,OFFSET('HARGA SATUAN'!$I$6,MATCH(RAB!C119,'HARGA SATUAN'!$C$7:$C$1495,0),0))</f>
        <v>0</v>
      </c>
      <c r="H119" s="308">
        <f t="shared" ca="1" si="17"/>
        <v>0</v>
      </c>
      <c r="I119" s="308">
        <f t="shared" ca="1" si="18"/>
        <v>0</v>
      </c>
      <c r="J119" s="308">
        <f t="shared" ca="1" si="19"/>
        <v>0</v>
      </c>
      <c r="K119" s="309">
        <f t="shared" ca="1" si="20"/>
        <v>0</v>
      </c>
      <c r="L119" s="316"/>
      <c r="M119" s="289"/>
      <c r="N119" s="316"/>
      <c r="O119" s="310"/>
      <c r="P119" s="310"/>
      <c r="Q119" s="291"/>
      <c r="R119" s="283"/>
      <c r="S119" s="311"/>
      <c r="T119" s="288"/>
      <c r="U119" s="288"/>
      <c r="V119" s="288"/>
    </row>
    <row r="120" spans="1:22" s="317" customFormat="1" ht="30">
      <c r="A120" s="283"/>
      <c r="B120" s="722">
        <v>1</v>
      </c>
      <c r="C120" s="109" t="s">
        <v>1195</v>
      </c>
      <c r="D120" s="305" t="str">
        <f ca="1">IF(ISERROR(OFFSET('HARGA SATUAN'!$D$6,MATCH(RAB!C120,'HARGA SATUAN'!$C$7:$C$1495,0),0)),"",OFFSET('HARGA SATUAN'!$D$6,MATCH(RAB!C120,'HARGA SATUAN'!$C$7:$C$1495,0),0))</f>
        <v>MDU-KD</v>
      </c>
      <c r="E120" s="306" t="str">
        <f ca="1">IF(B120="+","Unit",IF(ISERROR(OFFSET('HARGA SATUAN'!$E$6,MATCH(RAB!C120,'HARGA SATUAN'!$C$7:$C$1495,0),0)),"",OFFSET('HARGA SATUAN'!$E$6,MATCH(RAB!C120,'HARGA SATUAN'!$C$7:$C$1495,0),0)))</f>
        <v>Bh</v>
      </c>
      <c r="F120" s="724">
        <f>F119*1</f>
        <v>1</v>
      </c>
      <c r="G120" s="307">
        <f ca="1">IF(ISERROR(OFFSET('HARGA SATUAN'!$I$6,MATCH(RAB!C120,'HARGA SATUAN'!$C$7:$C$1495,0),0)),0,OFFSET('HARGA SATUAN'!$I$6,MATCH(RAB!C120,'HARGA SATUAN'!$C$7:$C$1495,0),0))</f>
        <v>1504200</v>
      </c>
      <c r="H120" s="308">
        <f t="shared" ca="1" si="17"/>
        <v>1504200</v>
      </c>
      <c r="I120" s="308">
        <f t="shared" ca="1" si="18"/>
        <v>0</v>
      </c>
      <c r="J120" s="308">
        <f t="shared" ca="1" si="19"/>
        <v>0</v>
      </c>
      <c r="K120" s="309">
        <f t="shared" ca="1" si="20"/>
        <v>1504200</v>
      </c>
      <c r="L120" s="316"/>
      <c r="M120" s="289"/>
      <c r="N120" s="316"/>
      <c r="O120" s="310"/>
      <c r="P120" s="310"/>
      <c r="Q120" s="291"/>
      <c r="R120" s="283"/>
      <c r="S120" s="311"/>
      <c r="T120" s="288"/>
      <c r="U120" s="288"/>
      <c r="V120" s="288"/>
    </row>
    <row r="121" spans="1:22" s="317" customFormat="1">
      <c r="A121" s="283"/>
      <c r="B121" s="722">
        <v>2</v>
      </c>
      <c r="C121" s="727" t="s">
        <v>516</v>
      </c>
      <c r="D121" s="305" t="str">
        <f ca="1">IF(ISERROR(OFFSET('HARGA SATUAN'!$D$6,MATCH(RAB!C121,'HARGA SATUAN'!$C$7:$C$1495,0),0)),"",OFFSET('HARGA SATUAN'!$D$6,MATCH(RAB!C121,'HARGA SATUAN'!$C$7:$C$1495,0),0))</f>
        <v>MDU-KD</v>
      </c>
      <c r="E121" s="306" t="str">
        <f ca="1">IF(B121="+","Unit",IF(ISERROR(OFFSET('HARGA SATUAN'!$E$6,MATCH(RAB!C121,'HARGA SATUAN'!$C$7:$C$1495,0),0)),"",OFFSET('HARGA SATUAN'!$E$6,MATCH(RAB!C121,'HARGA SATUAN'!$C$7:$C$1495,0),0)))</f>
        <v>Unit</v>
      </c>
      <c r="F121" s="724">
        <f>F119*1</f>
        <v>1</v>
      </c>
      <c r="G121" s="307">
        <f ca="1">IF(ISERROR(OFFSET('HARGA SATUAN'!$I$6,MATCH(RAB!C121,'HARGA SATUAN'!$C$7:$C$1495,0),0)),0,OFFSET('HARGA SATUAN'!$I$6,MATCH(RAB!C121,'HARGA SATUAN'!$C$7:$C$1495,0),0))</f>
        <v>13644300</v>
      </c>
      <c r="H121" s="308">
        <f t="shared" ca="1" si="17"/>
        <v>13644300</v>
      </c>
      <c r="I121" s="308">
        <f t="shared" ca="1" si="18"/>
        <v>0</v>
      </c>
      <c r="J121" s="308">
        <f t="shared" ca="1" si="19"/>
        <v>0</v>
      </c>
      <c r="K121" s="309">
        <f t="shared" ca="1" si="20"/>
        <v>13644300</v>
      </c>
      <c r="L121" s="316"/>
      <c r="M121" s="289"/>
      <c r="N121" s="316"/>
      <c r="O121" s="310"/>
      <c r="P121" s="310"/>
      <c r="Q121" s="291"/>
      <c r="R121" s="283"/>
      <c r="S121" s="311"/>
      <c r="T121" s="288"/>
      <c r="U121" s="288"/>
      <c r="V121" s="288"/>
    </row>
    <row r="122" spans="1:22" s="317" customFormat="1">
      <c r="A122" s="283"/>
      <c r="B122" s="722">
        <v>3</v>
      </c>
      <c r="C122" s="727" t="s">
        <v>1141</v>
      </c>
      <c r="D122" s="305" t="str">
        <f ca="1">IF(ISERROR(OFFSET('HARGA SATUAN'!$D$6,MATCH(RAB!C122,'HARGA SATUAN'!$C$7:$C$1495,0),0)),"",OFFSET('HARGA SATUAN'!$D$6,MATCH(RAB!C122,'HARGA SATUAN'!$C$7:$C$1495,0),0))</f>
        <v>HDW</v>
      </c>
      <c r="E122" s="306" t="str">
        <f ca="1">IF(B122="+","Unit",IF(ISERROR(OFFSET('HARGA SATUAN'!$E$6,MATCH(RAB!C122,'HARGA SATUAN'!$C$7:$C$1495,0),0)),"",OFFSET('HARGA SATUAN'!$E$6,MATCH(RAB!C122,'HARGA SATUAN'!$C$7:$C$1495,0),0)))</f>
        <v>Unit</v>
      </c>
      <c r="F122" s="724">
        <f>F119*1</f>
        <v>1</v>
      </c>
      <c r="G122" s="307">
        <f ca="1">IF(ISERROR(OFFSET('HARGA SATUAN'!$I$6,MATCH(RAB!C122,'HARGA SATUAN'!$C$7:$C$1495,0),0)),0,OFFSET('HARGA SATUAN'!$I$6,MATCH(RAB!C122,'HARGA SATUAN'!$C$7:$C$1495,0),0))</f>
        <v>1113900</v>
      </c>
      <c r="H122" s="308">
        <f t="shared" ca="1" si="17"/>
        <v>0</v>
      </c>
      <c r="I122" s="308">
        <f t="shared" ca="1" si="18"/>
        <v>1113900</v>
      </c>
      <c r="J122" s="308">
        <f t="shared" ca="1" si="19"/>
        <v>0</v>
      </c>
      <c r="K122" s="309">
        <f t="shared" ca="1" si="20"/>
        <v>1113900</v>
      </c>
      <c r="L122" s="316"/>
      <c r="M122" s="289"/>
      <c r="N122" s="316"/>
      <c r="O122" s="310"/>
      <c r="P122" s="310"/>
      <c r="Q122" s="291"/>
      <c r="R122" s="283"/>
      <c r="S122" s="311"/>
      <c r="T122" s="288"/>
      <c r="U122" s="288"/>
      <c r="V122" s="288"/>
    </row>
    <row r="123" spans="1:22" s="317" customFormat="1">
      <c r="A123" s="283"/>
      <c r="B123" s="722">
        <v>4</v>
      </c>
      <c r="C123" s="109" t="s">
        <v>1457</v>
      </c>
      <c r="D123" s="305" t="str">
        <f ca="1">IF(ISERROR(OFFSET('HARGA SATUAN'!$D$6,MATCH(RAB!C123,'HARGA SATUAN'!$C$7:$C$1495,0),0)),"",OFFSET('HARGA SATUAN'!$D$6,MATCH(RAB!C123,'HARGA SATUAN'!$C$7:$C$1495,0),0))</f>
        <v>MDU-KD</v>
      </c>
      <c r="E123" s="306" t="str">
        <f ca="1">IF(B123="+","Unit",IF(ISERROR(OFFSET('HARGA SATUAN'!$E$6,MATCH(RAB!C123,'HARGA SATUAN'!$C$7:$C$1495,0),0)),"",OFFSET('HARGA SATUAN'!$E$6,MATCH(RAB!C123,'HARGA SATUAN'!$C$7:$C$1495,0),0)))</f>
        <v>Mtr</v>
      </c>
      <c r="F123" s="724">
        <v>40</v>
      </c>
      <c r="G123" s="307">
        <f ca="1">IF(ISERROR(OFFSET('HARGA SATUAN'!$I$6,MATCH(RAB!C123,'HARGA SATUAN'!$C$7:$C$1495,0),0)),0,OFFSET('HARGA SATUAN'!$I$6,MATCH(RAB!C123,'HARGA SATUAN'!$C$7:$C$1495,0),0))</f>
        <v>54500</v>
      </c>
      <c r="H123" s="308">
        <f t="shared" ca="1" si="17"/>
        <v>2180000</v>
      </c>
      <c r="I123" s="308">
        <f t="shared" ca="1" si="18"/>
        <v>0</v>
      </c>
      <c r="J123" s="308">
        <f t="shared" ca="1" si="19"/>
        <v>0</v>
      </c>
      <c r="K123" s="309">
        <f t="shared" ca="1" si="20"/>
        <v>2180000</v>
      </c>
      <c r="L123" s="316"/>
      <c r="M123" s="289"/>
      <c r="N123" s="316"/>
      <c r="O123" s="310"/>
      <c r="P123" s="310"/>
      <c r="Q123" s="291"/>
      <c r="R123" s="283"/>
      <c r="S123" s="311"/>
      <c r="T123" s="288"/>
      <c r="U123" s="288"/>
      <c r="V123" s="288"/>
    </row>
    <row r="124" spans="1:22" s="317" customFormat="1">
      <c r="A124" s="283"/>
      <c r="B124" s="722">
        <v>5</v>
      </c>
      <c r="C124" s="727" t="s">
        <v>799</v>
      </c>
      <c r="D124" s="305" t="str">
        <f ca="1">IF(ISERROR(OFFSET('HARGA SATUAN'!$D$6,MATCH(RAB!C124,'HARGA SATUAN'!$C$7:$C$1495,0),0)),"",OFFSET('HARGA SATUAN'!$D$6,MATCH(RAB!C124,'HARGA SATUAN'!$C$7:$C$1495,0),0))</f>
        <v>JASA</v>
      </c>
      <c r="E124" s="306" t="str">
        <f ca="1">IF(B124="+","Unit",IF(ISERROR(OFFSET('HARGA SATUAN'!$E$6,MATCH(RAB!C124,'HARGA SATUAN'!$C$7:$C$1495,0),0)),"",OFFSET('HARGA SATUAN'!$E$6,MATCH(RAB!C124,'HARGA SATUAN'!$C$7:$C$1495,0),0)))</f>
        <v>Unit</v>
      </c>
      <c r="F124" s="724">
        <f>F119*1</f>
        <v>1</v>
      </c>
      <c r="G124" s="307">
        <f ca="1">IF(ISERROR(OFFSET('HARGA SATUAN'!$I$6,MATCH(RAB!C124,'HARGA SATUAN'!$C$7:$C$1495,0),0)),0,OFFSET('HARGA SATUAN'!$I$6,MATCH(RAB!C124,'HARGA SATUAN'!$C$7:$C$1495,0),0))</f>
        <v>106400</v>
      </c>
      <c r="H124" s="308">
        <f ca="1">IF(OR(D124="MDU",D124="MDU-KD"),(IF($O$3="RAB NON MDU","PLN KD",G124*F124)),0)</f>
        <v>0</v>
      </c>
      <c r="I124" s="308">
        <f ca="1">IF(D124="HDW",G124*F124,0)</f>
        <v>0</v>
      </c>
      <c r="J124" s="308">
        <f ca="1">IF(D124="JASA",G124*F124,0)</f>
        <v>106400</v>
      </c>
      <c r="K124" s="309">
        <f ca="1">SUM(H124:J124)</f>
        <v>106400</v>
      </c>
      <c r="L124" s="316"/>
      <c r="M124" s="289"/>
      <c r="N124" s="316"/>
      <c r="O124" s="310"/>
      <c r="P124" s="310"/>
      <c r="Q124" s="291"/>
      <c r="R124" s="283"/>
      <c r="S124" s="311"/>
      <c r="T124" s="288"/>
      <c r="U124" s="288"/>
      <c r="V124" s="288"/>
    </row>
    <row r="125" spans="1:22" s="317" customFormat="1">
      <c r="A125" s="283"/>
      <c r="B125" s="318"/>
      <c r="C125" s="319"/>
      <c r="D125" s="305" t="str">
        <f ca="1">IF(ISERROR(OFFSET('HARGA SATUAN'!$D$6,MATCH(RAB!C125,'HARGA SATUAN'!$C$7:$C$1495,0),0)),"",OFFSET('HARGA SATUAN'!$D$6,MATCH(RAB!C125,'HARGA SATUAN'!$C$7:$C$1495,0),0))</f>
        <v/>
      </c>
      <c r="E125" s="306" t="str">
        <f ca="1">IF(B125="+","Unit",IF(ISERROR(OFFSET('HARGA SATUAN'!$E$6,MATCH(RAB!C125,'HARGA SATUAN'!$C$7:$C$1495,0),0)),"",OFFSET('HARGA SATUAN'!$E$6,MATCH(RAB!C125,'HARGA SATUAN'!$C$7:$C$1495,0),0)))</f>
        <v/>
      </c>
      <c r="F125" s="452"/>
      <c r="G125" s="307">
        <f ca="1">IF(ISERROR(OFFSET('HARGA SATUAN'!$I$6,MATCH(RAB!C125,'HARGA SATUAN'!$C$7:$C$1495,0),0)),0,OFFSET('HARGA SATUAN'!$I$6,MATCH(RAB!C125,'HARGA SATUAN'!$C$7:$C$1495,0),0))</f>
        <v>0</v>
      </c>
      <c r="H125" s="308">
        <f t="shared" ca="1" si="17"/>
        <v>0</v>
      </c>
      <c r="I125" s="308">
        <f t="shared" ca="1" si="18"/>
        <v>0</v>
      </c>
      <c r="J125" s="308">
        <f t="shared" ca="1" si="19"/>
        <v>0</v>
      </c>
      <c r="K125" s="309">
        <f t="shared" ca="1" si="20"/>
        <v>0</v>
      </c>
      <c r="L125" s="316"/>
      <c r="M125" s="289" t="str">
        <f ca="1">IF(AND(F125&gt;0,F118=0),"",IF(AND(ISBLANK(F125)=FALSE,K125=0),"WARNING",""))</f>
        <v/>
      </c>
      <c r="N125" s="316"/>
      <c r="O125" s="310"/>
      <c r="P125" s="310"/>
      <c r="Q125" s="291"/>
      <c r="R125" s="283"/>
      <c r="S125" s="311"/>
      <c r="T125" s="288"/>
      <c r="U125" s="288"/>
      <c r="V125" s="288"/>
    </row>
    <row r="126" spans="1:22" s="317" customFormat="1">
      <c r="A126" s="283"/>
      <c r="B126" s="318" t="s">
        <v>1035</v>
      </c>
      <c r="C126" s="319" t="s">
        <v>1618</v>
      </c>
      <c r="D126" s="305" t="str">
        <f ca="1">IF(ISERROR(OFFSET('HARGA SATUAN'!$D$6,MATCH(RAB!C126,'HARGA SATUAN'!$C$7:$C$1495,0),0)),"",OFFSET('HARGA SATUAN'!$D$6,MATCH(RAB!C126,'HARGA SATUAN'!$C$7:$C$1495,0),0))</f>
        <v/>
      </c>
      <c r="E126" s="306" t="str">
        <f ca="1">IF(B126="+","Unit",IF(ISERROR(OFFSET('HARGA SATUAN'!$E$6,MATCH(RAB!C126,'HARGA SATUAN'!$C$7:$C$1495,0),0)),"",OFFSET('HARGA SATUAN'!$E$6,MATCH(RAB!C126,'HARGA SATUAN'!$C$7:$C$1495,0),0)))</f>
        <v>Unit</v>
      </c>
      <c r="F126" s="451">
        <v>1</v>
      </c>
      <c r="G126" s="307">
        <f ca="1">IF(ISERROR(OFFSET('HARGA SATUAN'!$I$6,MATCH(RAB!C126,'HARGA SATUAN'!$C$7:$C$1495,0),0)),0,OFFSET('HARGA SATUAN'!$I$6,MATCH(RAB!C126,'HARGA SATUAN'!$C$7:$C$1495,0),0))</f>
        <v>0</v>
      </c>
      <c r="H126" s="308">
        <f t="shared" ca="1" si="17"/>
        <v>0</v>
      </c>
      <c r="I126" s="308">
        <f t="shared" ca="1" si="18"/>
        <v>0</v>
      </c>
      <c r="J126" s="308">
        <f t="shared" ca="1" si="19"/>
        <v>0</v>
      </c>
      <c r="K126" s="309">
        <f t="shared" ca="1" si="20"/>
        <v>0</v>
      </c>
      <c r="L126" s="316"/>
      <c r="M126" s="289" t="str">
        <f t="shared" si="16"/>
        <v/>
      </c>
      <c r="N126" s="316"/>
      <c r="O126" s="310"/>
      <c r="P126" s="310"/>
      <c r="Q126" s="291"/>
      <c r="R126" s="283"/>
      <c r="S126" s="311"/>
      <c r="T126" s="288"/>
      <c r="U126" s="288"/>
      <c r="V126" s="288"/>
    </row>
    <row r="127" spans="1:22" s="317" customFormat="1">
      <c r="A127" s="283"/>
      <c r="B127" s="318">
        <v>1</v>
      </c>
      <c r="C127" s="319" t="s">
        <v>29</v>
      </c>
      <c r="D127" s="305" t="str">
        <f ca="1">IF(ISERROR(OFFSET('HARGA SATUAN'!$D$6,MATCH(RAB!C127,'HARGA SATUAN'!$C$7:$C$1495,0),0)),"",OFFSET('HARGA SATUAN'!$D$6,MATCH(RAB!C127,'HARGA SATUAN'!$C$7:$C$1495,0),0))</f>
        <v>HDW</v>
      </c>
      <c r="E127" s="306" t="str">
        <f ca="1">IF(B127="+","Unit",IF(ISERROR(OFFSET('HARGA SATUAN'!$E$6,MATCH(RAB!C127,'HARGA SATUAN'!$C$7:$C$1495,0),0)),"",OFFSET('HARGA SATUAN'!$E$6,MATCH(RAB!C127,'HARGA SATUAN'!$C$7:$C$1495,0),0)))</f>
        <v>Bh</v>
      </c>
      <c r="F127" s="451">
        <f>F126*1</f>
        <v>1</v>
      </c>
      <c r="G127" s="307">
        <f ca="1">IF(ISERROR(OFFSET('HARGA SATUAN'!$I$6,MATCH(RAB!C127,'HARGA SATUAN'!$C$7:$C$1495,0),0)),0,OFFSET('HARGA SATUAN'!$I$6,MATCH(RAB!C127,'HARGA SATUAN'!$C$7:$C$1495,0),0))</f>
        <v>185200</v>
      </c>
      <c r="H127" s="308">
        <f t="shared" ca="1" si="17"/>
        <v>0</v>
      </c>
      <c r="I127" s="308">
        <f t="shared" ca="1" si="18"/>
        <v>185200</v>
      </c>
      <c r="J127" s="308">
        <f t="shared" ca="1" si="19"/>
        <v>0</v>
      </c>
      <c r="K127" s="309">
        <f t="shared" ca="1" si="20"/>
        <v>185200</v>
      </c>
      <c r="L127" s="316"/>
      <c r="M127" s="289" t="str">
        <f t="shared" ca="1" si="16"/>
        <v/>
      </c>
      <c r="N127" s="316"/>
      <c r="O127" s="310"/>
      <c r="P127" s="310"/>
      <c r="Q127" s="291"/>
      <c r="R127" s="283"/>
      <c r="S127" s="311"/>
      <c r="T127" s="288"/>
      <c r="U127" s="288"/>
      <c r="V127" s="288"/>
    </row>
    <row r="128" spans="1:22" s="317" customFormat="1">
      <c r="A128" s="283"/>
      <c r="B128" s="318">
        <v>2</v>
      </c>
      <c r="C128" s="319" t="s">
        <v>30</v>
      </c>
      <c r="D128" s="305" t="str">
        <f ca="1">IF(ISERROR(OFFSET('HARGA SATUAN'!$D$6,MATCH(RAB!C128,'HARGA SATUAN'!$C$7:$C$1495,0),0)),"",OFFSET('HARGA SATUAN'!$D$6,MATCH(RAB!C128,'HARGA SATUAN'!$C$7:$C$1495,0),0))</f>
        <v>HDW</v>
      </c>
      <c r="E128" s="306" t="str">
        <f ca="1">IF(B128="+","Unit",IF(ISERROR(OFFSET('HARGA SATUAN'!$E$6,MATCH(RAB!C128,'HARGA SATUAN'!$C$7:$C$1495,0),0)),"",OFFSET('HARGA SATUAN'!$E$6,MATCH(RAB!C128,'HARGA SATUAN'!$C$7:$C$1495,0),0)))</f>
        <v>Bh</v>
      </c>
      <c r="F128" s="451">
        <f>F126*1</f>
        <v>1</v>
      </c>
      <c r="G128" s="307">
        <f ca="1">IF(ISERROR(OFFSET('HARGA SATUAN'!$I$6,MATCH(RAB!C128,'HARGA SATUAN'!$C$7:$C$1495,0),0)),0,OFFSET('HARGA SATUAN'!$I$6,MATCH(RAB!C128,'HARGA SATUAN'!$C$7:$C$1495,0),0))</f>
        <v>47459</v>
      </c>
      <c r="H128" s="308">
        <f t="shared" ca="1" si="17"/>
        <v>0</v>
      </c>
      <c r="I128" s="308">
        <f t="shared" ca="1" si="18"/>
        <v>47459</v>
      </c>
      <c r="J128" s="308">
        <f t="shared" ca="1" si="19"/>
        <v>0</v>
      </c>
      <c r="K128" s="309">
        <f t="shared" ca="1" si="20"/>
        <v>47459</v>
      </c>
      <c r="L128" s="316"/>
      <c r="M128" s="289" t="str">
        <f t="shared" ca="1" si="16"/>
        <v/>
      </c>
      <c r="N128" s="316"/>
      <c r="O128" s="310"/>
      <c r="P128" s="310"/>
      <c r="Q128" s="291"/>
      <c r="R128" s="283"/>
      <c r="S128" s="311"/>
      <c r="T128" s="288"/>
      <c r="U128" s="288"/>
      <c r="V128" s="288"/>
    </row>
    <row r="129" spans="1:22" s="317" customFormat="1">
      <c r="A129" s="283"/>
      <c r="B129" s="318">
        <v>3</v>
      </c>
      <c r="C129" s="319" t="s">
        <v>32</v>
      </c>
      <c r="D129" s="305" t="str">
        <f ca="1">IF(ISERROR(OFFSET('HARGA SATUAN'!$D$6,MATCH(RAB!C129,'HARGA SATUAN'!$C$7:$C$1495,0),0)),"",OFFSET('HARGA SATUAN'!$D$6,MATCH(RAB!C129,'HARGA SATUAN'!$C$7:$C$1495,0),0))</f>
        <v>HDW</v>
      </c>
      <c r="E129" s="306" t="str">
        <f ca="1">IF(B129="+","Unit",IF(ISERROR(OFFSET('HARGA SATUAN'!$E$6,MATCH(RAB!C129,'HARGA SATUAN'!$C$7:$C$1495,0),0)),"",OFFSET('HARGA SATUAN'!$E$6,MATCH(RAB!C129,'HARGA SATUAN'!$C$7:$C$1495,0),0)))</f>
        <v>Mtr</v>
      </c>
      <c r="F129" s="451">
        <f>F126*1.5</f>
        <v>1.5</v>
      </c>
      <c r="G129" s="307">
        <f ca="1">IF(ISERROR(OFFSET('HARGA SATUAN'!$I$6,MATCH(RAB!C129,'HARGA SATUAN'!$C$7:$C$1495,0),0)),0,OFFSET('HARGA SATUAN'!$I$6,MATCH(RAB!C129,'HARGA SATUAN'!$C$7:$C$1495,0),0))</f>
        <v>30000</v>
      </c>
      <c r="H129" s="308">
        <f t="shared" ca="1" si="17"/>
        <v>0</v>
      </c>
      <c r="I129" s="308">
        <f t="shared" ca="1" si="18"/>
        <v>45000</v>
      </c>
      <c r="J129" s="308">
        <f t="shared" ca="1" si="19"/>
        <v>0</v>
      </c>
      <c r="K129" s="309">
        <f t="shared" ca="1" si="20"/>
        <v>45000</v>
      </c>
      <c r="L129" s="316"/>
      <c r="M129" s="289" t="str">
        <f t="shared" ca="1" si="16"/>
        <v/>
      </c>
      <c r="N129" s="316"/>
      <c r="O129" s="310"/>
      <c r="P129" s="310"/>
      <c r="Q129" s="291"/>
      <c r="R129" s="283"/>
      <c r="S129" s="311"/>
      <c r="T129" s="288"/>
      <c r="U129" s="288"/>
      <c r="V129" s="288"/>
    </row>
    <row r="130" spans="1:22" s="317" customFormat="1">
      <c r="A130" s="283"/>
      <c r="B130" s="318">
        <v>4</v>
      </c>
      <c r="C130" s="319" t="s">
        <v>33</v>
      </c>
      <c r="D130" s="305" t="str">
        <f ca="1">IF(ISERROR(OFFSET('HARGA SATUAN'!$D$6,MATCH(RAB!C130,'HARGA SATUAN'!$C$7:$C$1495,0),0)),"",OFFSET('HARGA SATUAN'!$D$6,MATCH(RAB!C130,'HARGA SATUAN'!$C$7:$C$1495,0),0))</f>
        <v>HDW</v>
      </c>
      <c r="E130" s="306" t="str">
        <f ca="1">IF(B130="+","Unit",IF(ISERROR(OFFSET('HARGA SATUAN'!$E$6,MATCH(RAB!C130,'HARGA SATUAN'!$C$7:$C$1495,0),0)),"",OFFSET('HARGA SATUAN'!$E$6,MATCH(RAB!C130,'HARGA SATUAN'!$C$7:$C$1495,0),0)))</f>
        <v>Bh</v>
      </c>
      <c r="F130" s="451">
        <f>F126*2</f>
        <v>2</v>
      </c>
      <c r="G130" s="307">
        <f ca="1">IF(ISERROR(OFFSET('HARGA SATUAN'!$I$6,MATCH(RAB!C130,'HARGA SATUAN'!$C$7:$C$1495,0),0)),0,OFFSET('HARGA SATUAN'!$I$6,MATCH(RAB!C130,'HARGA SATUAN'!$C$7:$C$1495,0),0))</f>
        <v>9500</v>
      </c>
      <c r="H130" s="308">
        <f t="shared" ca="1" si="17"/>
        <v>0</v>
      </c>
      <c r="I130" s="308">
        <f t="shared" ca="1" si="18"/>
        <v>19000</v>
      </c>
      <c r="J130" s="308">
        <f t="shared" ca="1" si="19"/>
        <v>0</v>
      </c>
      <c r="K130" s="309">
        <f t="shared" ca="1" si="20"/>
        <v>19000</v>
      </c>
      <c r="L130" s="316"/>
      <c r="M130" s="289" t="str">
        <f t="shared" ca="1" si="16"/>
        <v/>
      </c>
      <c r="N130" s="316"/>
      <c r="O130" s="310"/>
      <c r="P130" s="310"/>
      <c r="Q130" s="291"/>
      <c r="R130" s="283"/>
      <c r="S130" s="311"/>
      <c r="T130" s="288"/>
      <c r="U130" s="288"/>
      <c r="V130" s="288"/>
    </row>
    <row r="131" spans="1:22" s="317" customFormat="1">
      <c r="A131" s="283"/>
      <c r="B131" s="318">
        <v>5</v>
      </c>
      <c r="C131" s="319" t="s">
        <v>735</v>
      </c>
      <c r="D131" s="305" t="str">
        <f ca="1">IF(ISERROR(OFFSET('HARGA SATUAN'!$D$6,MATCH(RAB!C131,'HARGA SATUAN'!$C$7:$C$1495,0),0)),"",OFFSET('HARGA SATUAN'!$D$6,MATCH(RAB!C131,'HARGA SATUAN'!$C$7:$C$1495,0),0))</f>
        <v>JASA</v>
      </c>
      <c r="E131" s="306" t="str">
        <f ca="1">IF(B131="+","Unit",IF(ISERROR(OFFSET('HARGA SATUAN'!$E$6,MATCH(RAB!C131,'HARGA SATUAN'!$C$7:$C$1495,0),0)),"",OFFSET('HARGA SATUAN'!$E$6,MATCH(RAB!C131,'HARGA SATUAN'!$C$7:$C$1495,0),0)))</f>
        <v>Unit</v>
      </c>
      <c r="F131" s="451">
        <f>F126*1</f>
        <v>1</v>
      </c>
      <c r="G131" s="307">
        <f ca="1">IF(ISERROR(OFFSET('HARGA SATUAN'!$I$6,MATCH(RAB!C131,'HARGA SATUAN'!$C$7:$C$1495,0),0)),0,OFFSET('HARGA SATUAN'!$I$6,MATCH(RAB!C131,'HARGA SATUAN'!$C$7:$C$1495,0),0))</f>
        <v>56400</v>
      </c>
      <c r="H131" s="308">
        <f t="shared" ca="1" si="17"/>
        <v>0</v>
      </c>
      <c r="I131" s="308">
        <f t="shared" ca="1" si="18"/>
        <v>0</v>
      </c>
      <c r="J131" s="308">
        <f t="shared" ca="1" si="19"/>
        <v>56400</v>
      </c>
      <c r="K131" s="309">
        <f t="shared" ca="1" si="20"/>
        <v>56400</v>
      </c>
      <c r="L131" s="316"/>
      <c r="M131" s="289" t="str">
        <f t="shared" ca="1" si="16"/>
        <v/>
      </c>
      <c r="N131" s="316"/>
      <c r="O131" s="310"/>
      <c r="P131" s="310"/>
      <c r="Q131" s="291"/>
      <c r="R131" s="283"/>
      <c r="S131" s="311"/>
      <c r="T131" s="288"/>
      <c r="U131" s="288"/>
      <c r="V131" s="288"/>
    </row>
    <row r="132" spans="1:22" s="317" customFormat="1">
      <c r="A132" s="283"/>
      <c r="B132" s="318"/>
      <c r="C132" s="319"/>
      <c r="D132" s="305" t="str">
        <f ca="1">IF(ISERROR(OFFSET('HARGA SATUAN'!$D$6,MATCH(RAB!C132,'HARGA SATUAN'!$C$7:$C$1495,0),0)),"",OFFSET('HARGA SATUAN'!$D$6,MATCH(RAB!C132,'HARGA SATUAN'!$C$7:$C$1495,0),0))</f>
        <v/>
      </c>
      <c r="E132" s="306" t="str">
        <f ca="1">IF(B132="+","Unit",IF(ISERROR(OFFSET('HARGA SATUAN'!$E$6,MATCH(RAB!C132,'HARGA SATUAN'!$C$7:$C$1495,0),0)),"",OFFSET('HARGA SATUAN'!$E$6,MATCH(RAB!C132,'HARGA SATUAN'!$C$7:$C$1495,0),0)))</f>
        <v/>
      </c>
      <c r="F132" s="451"/>
      <c r="G132" s="307">
        <f ca="1">IF(ISERROR(OFFSET('HARGA SATUAN'!$I$6,MATCH(RAB!C132,'HARGA SATUAN'!$C$7:$C$1495,0),0)),0,OFFSET('HARGA SATUAN'!$I$6,MATCH(RAB!C132,'HARGA SATUAN'!$C$7:$C$1495,0),0))</f>
        <v>0</v>
      </c>
      <c r="H132" s="308">
        <f t="shared" ca="1" si="17"/>
        <v>0</v>
      </c>
      <c r="I132" s="308">
        <f t="shared" ca="1" si="18"/>
        <v>0</v>
      </c>
      <c r="J132" s="308">
        <f t="shared" ca="1" si="19"/>
        <v>0</v>
      </c>
      <c r="K132" s="309">
        <f t="shared" ca="1" si="20"/>
        <v>0</v>
      </c>
      <c r="L132" s="316"/>
      <c r="M132" s="289"/>
      <c r="N132" s="316"/>
      <c r="O132" s="310"/>
      <c r="P132" s="310"/>
      <c r="Q132" s="291"/>
      <c r="R132" s="283"/>
      <c r="S132" s="311"/>
      <c r="T132" s="288"/>
      <c r="U132" s="288"/>
      <c r="V132" s="288"/>
    </row>
    <row r="133" spans="1:22" s="317" customFormat="1">
      <c r="A133" s="283"/>
      <c r="B133" s="418" t="s">
        <v>22</v>
      </c>
      <c r="C133" s="421" t="s">
        <v>802</v>
      </c>
      <c r="D133" s="305" t="str">
        <f ca="1">IF(ISERROR(OFFSET('HARGA SATUAN'!$D$6,MATCH(RAB!C133,'HARGA SATUAN'!$C$7:$C$1495,0),0)),"",OFFSET('HARGA SATUAN'!$D$6,MATCH(RAB!C133,'HARGA SATUAN'!$C$7:$C$1495,0),0))</f>
        <v/>
      </c>
      <c r="E133" s="306">
        <f ca="1">IF(B133="+","Unit",IF(ISERROR(OFFSET('HARGA SATUAN'!$E$6,MATCH(RAB!C133,'HARGA SATUAN'!$C$7:$C$1495,0),0)),"",OFFSET('HARGA SATUAN'!$E$6,MATCH(RAB!C133,'HARGA SATUAN'!$C$7:$C$1495,0),0)))</f>
        <v>0</v>
      </c>
      <c r="F133" s="451"/>
      <c r="G133" s="307">
        <f ca="1">IF(ISERROR(OFFSET('HARGA SATUAN'!$I$6,MATCH(RAB!C133,'HARGA SATUAN'!$C$7:$C$1495,0),0)),0,OFFSET('HARGA SATUAN'!$I$6,MATCH(RAB!C133,'HARGA SATUAN'!$C$7:$C$1495,0),0))</f>
        <v>0</v>
      </c>
      <c r="H133" s="308">
        <f t="shared" ca="1" si="17"/>
        <v>0</v>
      </c>
      <c r="I133" s="308">
        <f t="shared" ca="1" si="18"/>
        <v>0</v>
      </c>
      <c r="J133" s="308">
        <f t="shared" ca="1" si="19"/>
        <v>0</v>
      </c>
      <c r="K133" s="309">
        <f t="shared" ca="1" si="20"/>
        <v>0</v>
      </c>
      <c r="L133" s="316"/>
      <c r="M133" s="289"/>
      <c r="N133" s="316"/>
      <c r="O133" s="310"/>
      <c r="P133" s="310"/>
      <c r="Q133" s="291"/>
      <c r="R133" s="283"/>
      <c r="S133" s="311"/>
      <c r="T133" s="288"/>
      <c r="U133" s="288"/>
      <c r="V133" s="288"/>
    </row>
    <row r="134" spans="1:22">
      <c r="B134" s="320">
        <v>1</v>
      </c>
      <c r="C134" s="109" t="s">
        <v>981</v>
      </c>
      <c r="D134" s="305" t="str">
        <f ca="1">IF(ISERROR(OFFSET('HARGA SATUAN'!$D$6,MATCH(RAB!C134,'HARGA SATUAN'!$C$7:$C$1495,0),0)),"",OFFSET('HARGA SATUAN'!$D$6,MATCH(RAB!C134,'HARGA SATUAN'!$C$7:$C$1495,0),0))</f>
        <v>JASA</v>
      </c>
      <c r="E134" s="306" t="str">
        <f ca="1">IF(B134="+","Unit",IF(ISERROR(OFFSET('HARGA SATUAN'!$E$6,MATCH(RAB!C134,'HARGA SATUAN'!$C$7:$C$1495,0),0)),"",OFFSET('HARGA SATUAN'!$E$6,MATCH(RAB!C134,'HARGA SATUAN'!$C$7:$C$1495,0),0)))</f>
        <v>Unit</v>
      </c>
      <c r="F134" s="315">
        <v>1</v>
      </c>
      <c r="G134" s="307">
        <f ca="1">IF(ISERROR(OFFSET('HARGA SATUAN'!$I$6,MATCH(RAB!C134,'HARGA SATUAN'!$C$7:$C$1495,0),0)),0,OFFSET('HARGA SATUAN'!$I$6,MATCH(RAB!C134,'HARGA SATUAN'!$C$7:$C$1495,0),0))</f>
        <v>32640</v>
      </c>
      <c r="H134" s="308">
        <f t="shared" ca="1" si="17"/>
        <v>0</v>
      </c>
      <c r="I134" s="308">
        <f t="shared" ca="1" si="18"/>
        <v>0</v>
      </c>
      <c r="J134" s="308">
        <f t="shared" ca="1" si="19"/>
        <v>32640</v>
      </c>
      <c r="K134" s="309">
        <f t="shared" ca="1" si="20"/>
        <v>32640</v>
      </c>
      <c r="M134" s="289" t="str">
        <f ca="1">IF(AND(F134&gt;0,F131=0),"",IF(AND(ISBLANK(F134)=FALSE,K134=0),"WARNING",""))</f>
        <v/>
      </c>
    </row>
    <row r="135" spans="1:22">
      <c r="B135" s="321"/>
      <c r="C135" s="322" t="s">
        <v>475</v>
      </c>
      <c r="D135" s="305" t="str">
        <f ca="1">IF(ISERROR(OFFSET('HARGA SATUAN'!$D$6,MATCH(RAB!C135,'HARGA SATUAN'!$C$7:$C$1495,0),0)),"",OFFSET('HARGA SATUAN'!$D$6,MATCH(RAB!C135,'HARGA SATUAN'!$C$7:$C$1495,0),0))</f>
        <v/>
      </c>
      <c r="E135" s="306" t="str">
        <f ca="1">IF(B135="+","Unit",IF(ISERROR(OFFSET('HARGA SATUAN'!$E$6,MATCH(RAB!C135,'HARGA SATUAN'!$C$7:$C$1495,0),0)),"",OFFSET('HARGA SATUAN'!$E$6,MATCH(RAB!C135,'HARGA SATUAN'!$C$7:$C$1495,0),0)))</f>
        <v/>
      </c>
      <c r="F135" s="315"/>
      <c r="G135" s="307">
        <f ca="1">IF(ISERROR(OFFSET('HARGA SATUAN'!$I$6,MATCH(RAB!C135,'HARGA SATUAN'!$C$7:$C$1495,0),0)),0,OFFSET('HARGA SATUAN'!$I$6,MATCH(RAB!C135,'HARGA SATUAN'!$C$7:$C$1495,0),0))</f>
        <v>0</v>
      </c>
      <c r="H135" s="308">
        <f ca="1">IF(OR(D135="MDU",D135="MDU-KD"),(IF($O$3="RAB NON MDU","PLN KD",G135*F135)),0)</f>
        <v>0</v>
      </c>
      <c r="I135" s="308">
        <f ca="1">IF(D135="HDW",G135*F135,0)</f>
        <v>0</v>
      </c>
      <c r="J135" s="308">
        <f ca="1">IF(D135="JASA",G135*F135,0)</f>
        <v>0</v>
      </c>
      <c r="K135" s="309">
        <f ca="1">SUM(H135:J135)</f>
        <v>0</v>
      </c>
      <c r="M135" s="289" t="e">
        <f>IF(AND(F135&gt;0,#REF!=0),"",IF(AND(ISBLANK(F135)=FALSE,K135=0),"WARNING",""))</f>
        <v>#REF!</v>
      </c>
    </row>
    <row r="136" spans="1:22">
      <c r="B136" s="324">
        <v>1</v>
      </c>
      <c r="C136" s="325" t="s">
        <v>1091</v>
      </c>
      <c r="D136" s="326" t="str">
        <f ca="1">IF(ISERROR(OFFSET('HARGA SATUAN'!$D$6,MATCH(RAB!C136,'HARGA SATUAN'!$C$7:$C$1495,0),0)),"",OFFSET('HARGA SATUAN'!$D$6,MATCH(RAB!C136,'HARGA SATUAN'!$C$7:$C$1495,0),0))</f>
        <v>JASA</v>
      </c>
      <c r="E136" s="327" t="str">
        <f ca="1">IF(ISERROR(OFFSET('HARGA SATUAN'!$E$6,MATCH(RAB!C136,'HARGA SATUAN'!$C$7:$C$1495,0),0)),"",OFFSET('HARGA SATUAN'!$E$6,MATCH(RAB!C136,'HARGA SATUAN'!$C$7:$C$1495,0),0))</f>
        <v>Lot</v>
      </c>
      <c r="F136" s="328">
        <v>1</v>
      </c>
      <c r="G136" s="329">
        <f ca="1">IF(ISERROR(OFFSET('HARGA SATUAN'!$I$6,MATCH(RAB!C136,'HARGA SATUAN'!$C$7:$C$1495,0),0)),0,OFFSET('HARGA SATUAN'!$I$6,MATCH(RAB!C136,'HARGA SATUAN'!$C$7:$C$1495,0),0))</f>
        <v>2.5000000000000001E-2</v>
      </c>
      <c r="H136" s="330">
        <f ca="1">SUM(H14:H135)*G136</f>
        <v>2101933.75</v>
      </c>
      <c r="I136" s="330">
        <f ca="1">SUM(I14:I135)*G136</f>
        <v>479229.39333333337</v>
      </c>
      <c r="J136" s="330">
        <f ca="1">SUM(J14:J135)*G136</f>
        <v>64262.666666666664</v>
      </c>
      <c r="K136" s="330">
        <f ca="1">SUM(K14:K135)*G136</f>
        <v>2645425.81</v>
      </c>
      <c r="M136" s="289" t="str">
        <f>IF(AND(F136&gt;0,F135=0),"",IF(AND(ISBLANK(F136)=FALSE,K136=0),"WARNING",""))</f>
        <v/>
      </c>
    </row>
    <row r="137" spans="1:22">
      <c r="B137" s="331"/>
      <c r="C137" s="332"/>
      <c r="D137" s="305" t="str">
        <f ca="1">IF(ISERROR(OFFSET('HARGA SATUAN'!$D$6,MATCH(RAB!C137,'HARGA SATUAN'!$C$7:$C$1495,0),0)),"",OFFSET('HARGA SATUAN'!$D$6,MATCH(RAB!C137,'HARGA SATUAN'!$C$7:$C$1495,0),0))</f>
        <v/>
      </c>
      <c r="E137" s="306" t="str">
        <f ca="1">IF(ISERROR(OFFSET('HARGA SATUAN'!$E$6,MATCH(RAB!C137,'HARGA SATUAN'!$C$7:$C$1495,0),0)),"",OFFSET('HARGA SATUAN'!$E$6,MATCH(RAB!C137,'HARGA SATUAN'!$C$7:$C$1495,0),0))</f>
        <v/>
      </c>
      <c r="F137" s="323"/>
      <c r="G137" s="307" t="str">
        <f ca="1">IF(ISERROR(OFFSET('HARGA SATUAN'!$I$6,MATCH(RAB!C137,'HARGA SATUAN'!$C$7:$C$1495,0),0)),"",OFFSET('HARGA SATUAN'!$I$6,MATCH(RAB!C137,'HARGA SATUAN'!$C$7:$C$1495,0),0))</f>
        <v/>
      </c>
      <c r="H137" s="308">
        <f ca="1">IF(OR(D137="MDU",D137="MDU-KD"),IF(G137="PLN",0,G137*F137),0)</f>
        <v>0</v>
      </c>
      <c r="I137" s="308">
        <f ca="1">IF(D137="HDW",IF(G137="PLN",0,G137*F137),0)</f>
        <v>0</v>
      </c>
      <c r="J137" s="308">
        <f ca="1">IF(D137="JASA",IF(G137="PLN",0,G137*F137),0)</f>
        <v>0</v>
      </c>
      <c r="K137" s="309">
        <f ca="1">SUM(H137:J137)</f>
        <v>0</v>
      </c>
    </row>
    <row r="138" spans="1:22" ht="15.75" thickBot="1">
      <c r="B138" s="333"/>
      <c r="C138" s="334"/>
      <c r="D138" s="335"/>
      <c r="E138" s="336"/>
      <c r="F138" s="336"/>
      <c r="G138" s="336"/>
      <c r="H138" s="337"/>
      <c r="I138" s="337"/>
      <c r="J138" s="337"/>
      <c r="K138" s="338"/>
    </row>
    <row r="139" spans="1:22">
      <c r="B139" s="339"/>
      <c r="C139" s="621" t="s">
        <v>1008</v>
      </c>
      <c r="D139" s="621"/>
      <c r="E139" s="621"/>
      <c r="F139" s="621"/>
      <c r="G139" s="340" t="s">
        <v>9</v>
      </c>
      <c r="H139" s="341">
        <f ca="1">SUM(H14:H137)</f>
        <v>86179283.75</v>
      </c>
      <c r="I139" s="341">
        <f ca="1">SUM(I14:I137)</f>
        <v>19648405.126666669</v>
      </c>
      <c r="J139" s="341">
        <f ca="1">SUM(J14:J137)</f>
        <v>2634769.333333333</v>
      </c>
      <c r="K139" s="341">
        <f ca="1">SUM(K14:K137)</f>
        <v>108462458.20999999</v>
      </c>
    </row>
    <row r="140" spans="1:22">
      <c r="B140" s="342"/>
      <c r="C140" s="638" t="s">
        <v>1455</v>
      </c>
      <c r="D140" s="638"/>
      <c r="E140" s="638"/>
      <c r="F140" s="638"/>
      <c r="G140" s="343" t="s">
        <v>9</v>
      </c>
      <c r="H140" s="344">
        <f ca="1">H139*0.11</f>
        <v>9479721.2125000004</v>
      </c>
      <c r="I140" s="344">
        <f ca="1">I139*0.11</f>
        <v>2161324.5639333334</v>
      </c>
      <c r="J140" s="344">
        <f ca="1">J139*0.11</f>
        <v>289824.62666666665</v>
      </c>
      <c r="K140" s="344">
        <f ca="1">K139*0.11</f>
        <v>11930870.403099999</v>
      </c>
    </row>
    <row r="141" spans="1:22" ht="15.75" thickBot="1">
      <c r="B141" s="342"/>
      <c r="C141" s="635" t="s">
        <v>463</v>
      </c>
      <c r="D141" s="635"/>
      <c r="E141" s="635"/>
      <c r="F141" s="635"/>
      <c r="G141" s="345" t="s">
        <v>9</v>
      </c>
      <c r="H141" s="346">
        <f ca="1">SUM(H139:H140)</f>
        <v>95659004.962500006</v>
      </c>
      <c r="I141" s="346">
        <f ca="1">SUM(I139:I140)</f>
        <v>21809729.6906</v>
      </c>
      <c r="J141" s="345">
        <f ca="1">SUM(J139:J140)</f>
        <v>2924593.9599999995</v>
      </c>
      <c r="K141" s="345">
        <f ca="1">SUM(K139:K140)</f>
        <v>120393328.61309999</v>
      </c>
      <c r="M141" s="410">
        <v>201265205.30690998</v>
      </c>
    </row>
    <row r="142" spans="1:22">
      <c r="B142" s="639" t="str">
        <f ca="1">"Terbilang : "&amp;PROPER(IF(K141=0,"nol",IF(K141&lt;0,"minus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IF(--MID(TEXT(ABS(K141),"000000000000000"),1,3)=0,"",MID(TEXT(ABS(K141),"000000000000000"),1,1)&amp;" ratus "&amp;MID(TEXT(ABS(K141),"000000000000000"),2,1)&amp;" puluh "&amp;MID(TEXT(ABS(K141),"000000000000000"),3,1)&amp;" trilyun ")&amp; IF(--MID(TEXT(ABS(K141),"000000000000000"),4,3)=0,"",MID(TEXT(ABS(K141),"000000000000000"),4,1)&amp;" ratus "&amp;MID(TEXT(ABS(K141),"000000000000000"),5,1)&amp;" puluh "&amp;MID(TEXT(ABS(K141),"000000000000000"),6,1)&amp;" milyar ")&amp; IF(--MID(TEXT(ABS(K141),"000000000000000"),7,3)=0,"",MID(TEXT(ABS(K141),"000000000000000"),7,1)&amp;" ratus "&amp;MID(TEXT(ABS(K141),"000000000000000"),8,1)&amp;" puluh "&amp;MID(TEXT(ABS(K141),"000000000000000"),9,1)&amp;" juta ")&amp; IF(--MID(TEXT(ABS(K141),"000000000000000"),10,3)=0,"",IF(--MID(TEXT(ABS(K141),"000000000000000"),10,3)=1,"*",MID(TEXT(ABS(K141),"000000000000000"),10,1)&amp;" ratus "&amp;MID(TEXT(ABS(K141),"000000000000000"),11,1)&amp;" puluh ")&amp;MID(TEXT(ABS(K141),"000000000000000"),12,1)&amp;" ribu ")&amp; IF(--MID(TEXT(ABS(K141),"000000000000000"),13,3)=0,"",MID(TEXT(ABS(K141),"000000000000000"),13,1)&amp;" ratus "&amp;MID(TEXT(ABS(K141),"000000000000000"),14,1)&amp;" puluh "&amp;MID(TEXT(ABS(K141),"000000000000000"),15,1)),1,"satu"),2,"dua"),3,"tiga"),4,"empat"),5,"lima"),6,"enam"),7,"tujuh"),8,"delapan"),9,"sembilan"),"0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Dua Puluh Juta Tiga Ratus Sembilan Puluh Tiga Ribu Tiga Ratus Dua Puluh Sembilan Rupiah</v>
      </c>
      <c r="C142" s="640"/>
      <c r="D142" s="640"/>
      <c r="E142" s="640"/>
      <c r="F142" s="640"/>
      <c r="G142" s="640"/>
      <c r="H142" s="640"/>
      <c r="I142" s="640"/>
      <c r="J142" s="640"/>
      <c r="K142" s="641"/>
    </row>
    <row r="143" spans="1:22">
      <c r="B143" s="642"/>
      <c r="C143" s="643"/>
      <c r="D143" s="643"/>
      <c r="E143" s="643"/>
      <c r="F143" s="643"/>
      <c r="G143" s="643"/>
      <c r="H143" s="643"/>
      <c r="I143" s="643"/>
      <c r="J143" s="643"/>
      <c r="K143" s="644"/>
    </row>
    <row r="144" spans="1:22" ht="15.75" thickBot="1">
      <c r="B144" s="347" t="str">
        <f>"Harga yang dipakai adalah "&amp;'HARGA SATUAN'!I5&amp;""</f>
        <v>Harga yang dipakai adalah RAB HSS 2023</v>
      </c>
      <c r="C144" s="348"/>
      <c r="D144" s="349"/>
      <c r="E144" s="349"/>
      <c r="F144" s="349"/>
      <c r="G144" s="350"/>
      <c r="H144" s="350"/>
      <c r="I144" s="350"/>
      <c r="J144" s="350"/>
      <c r="K144" s="351"/>
    </row>
    <row r="145" spans="3:11">
      <c r="C145" s="352"/>
      <c r="E145" s="354"/>
      <c r="F145" s="354"/>
      <c r="G145" s="354"/>
    </row>
    <row r="146" spans="3:11">
      <c r="C146" s="284"/>
      <c r="E146" s="354"/>
      <c r="F146" s="354"/>
      <c r="G146" s="354"/>
      <c r="H146" s="645"/>
      <c r="I146" s="645"/>
      <c r="J146" s="646"/>
      <c r="K146" s="646"/>
    </row>
    <row r="147" spans="3:11">
      <c r="C147" s="284"/>
      <c r="E147" s="354"/>
      <c r="F147" s="354"/>
      <c r="G147" s="354"/>
      <c r="H147" s="355"/>
      <c r="I147" s="634" t="s">
        <v>1616</v>
      </c>
      <c r="J147" s="634"/>
      <c r="K147" s="634"/>
    </row>
    <row r="148" spans="3:11">
      <c r="C148" s="284"/>
      <c r="E148" s="354"/>
      <c r="F148" s="354"/>
      <c r="G148" s="354"/>
      <c r="H148" s="355"/>
      <c r="I148" s="634" t="s">
        <v>1611</v>
      </c>
      <c r="J148" s="634"/>
      <c r="K148" s="634"/>
    </row>
    <row r="149" spans="3:11">
      <c r="C149" s="284"/>
      <c r="E149" s="354"/>
      <c r="F149" s="354"/>
      <c r="G149" s="354"/>
      <c r="H149" s="356"/>
      <c r="I149" s="357"/>
      <c r="J149" s="357"/>
      <c r="K149" s="357"/>
    </row>
    <row r="150" spans="3:11">
      <c r="C150" s="284"/>
      <c r="E150" s="354"/>
      <c r="F150" s="354"/>
      <c r="G150" s="354"/>
      <c r="H150" s="356"/>
      <c r="I150" s="356"/>
      <c r="J150" s="356"/>
      <c r="K150" s="356"/>
    </row>
    <row r="151" spans="3:11">
      <c r="C151" s="284"/>
      <c r="E151" s="354"/>
      <c r="F151" s="354"/>
      <c r="G151" s="354"/>
      <c r="H151" s="356"/>
      <c r="I151" s="356"/>
      <c r="J151" s="356"/>
      <c r="K151" s="356"/>
    </row>
    <row r="152" spans="3:11">
      <c r="C152" s="284"/>
      <c r="E152" s="354"/>
      <c r="F152" s="354"/>
      <c r="G152" s="354"/>
      <c r="H152" s="356"/>
      <c r="I152" s="356"/>
      <c r="J152" s="356"/>
      <c r="K152" s="356"/>
    </row>
    <row r="153" spans="3:11">
      <c r="C153" s="284"/>
      <c r="E153" s="354"/>
      <c r="F153" s="354"/>
      <c r="G153" s="354"/>
      <c r="H153" s="358"/>
      <c r="I153" s="634" t="s">
        <v>1612</v>
      </c>
      <c r="J153" s="634"/>
      <c r="K153" s="634"/>
    </row>
    <row r="154" spans="3:11">
      <c r="C154" s="352"/>
      <c r="E154" s="354"/>
      <c r="F154" s="354"/>
      <c r="G154" s="354"/>
      <c r="H154" s="356"/>
      <c r="I154" s="356"/>
      <c r="J154" s="356"/>
      <c r="K154" s="356"/>
    </row>
    <row r="155" spans="3:11">
      <c r="C155" s="352"/>
      <c r="E155" s="354"/>
      <c r="F155" s="354"/>
      <c r="G155" s="354"/>
      <c r="H155" s="356"/>
      <c r="I155" s="356"/>
      <c r="J155" s="356"/>
      <c r="K155" s="356"/>
    </row>
    <row r="156" spans="3:11">
      <c r="C156" s="352"/>
      <c r="E156" s="354"/>
      <c r="F156" s="354"/>
      <c r="G156" s="354"/>
      <c r="H156" s="356"/>
      <c r="I156" s="356"/>
      <c r="J156" s="356"/>
      <c r="K156" s="356"/>
    </row>
  </sheetData>
  <sheetProtection sort="0" autoFilter="0"/>
  <protectedRanges>
    <protectedRange sqref="B118:C118 B15 B16:C16 B117 B93:C113 B19:C20 B22:C37 B21 B38:B39 B17:B18 B40:C90 B116:C116 B114:B115" name="Range1_6_1"/>
    <protectedRange sqref="C117" name="Range1_6_1_10"/>
    <protectedRange sqref="B125:C133 B119:B124" name="Range1_6_1_11"/>
    <protectedRange sqref="B91:C92" name="Range1_6_1_15"/>
    <protectedRange sqref="C119:C122 C124" name="Range1_6_1_18"/>
    <protectedRange sqref="C21" name="Range1_1_3_2"/>
    <protectedRange sqref="C38:C39" name="Range1_1_3_4"/>
    <protectedRange sqref="C17" name="Range1_1_3_5"/>
    <protectedRange sqref="C18" name="Range1_1_3_6"/>
    <protectedRange sqref="C114" name="Range1_1_3_1"/>
    <protectedRange sqref="C115" name="Range1_1_3_7"/>
    <protectedRange sqref="C123" name="Range1_1_3_8"/>
    <protectedRange sqref="C134" name="Range1_1_3_9"/>
  </protectedRanges>
  <mergeCells count="22">
    <mergeCell ref="I148:K148"/>
    <mergeCell ref="I153:K153"/>
    <mergeCell ref="C141:F141"/>
    <mergeCell ref="G6:K6"/>
    <mergeCell ref="I147:K147"/>
    <mergeCell ref="C140:F140"/>
    <mergeCell ref="B142:K143"/>
    <mergeCell ref="H146:K146"/>
    <mergeCell ref="H11:K11"/>
    <mergeCell ref="H12:H13"/>
    <mergeCell ref="J12:J13"/>
    <mergeCell ref="K12:K13"/>
    <mergeCell ref="O3:P4"/>
    <mergeCell ref="B4:K4"/>
    <mergeCell ref="C139:F139"/>
    <mergeCell ref="B11:B13"/>
    <mergeCell ref="C11:C13"/>
    <mergeCell ref="D11:D13"/>
    <mergeCell ref="E11:E13"/>
    <mergeCell ref="F11:F13"/>
    <mergeCell ref="G11:G13"/>
    <mergeCell ref="I12:I13"/>
  </mergeCells>
  <phoneticPr fontId="134" type="noConversion"/>
  <conditionalFormatting sqref="C15">
    <cfRule type="cellIs" dxfId="19" priority="113" operator="equal">
      <formula>0</formula>
    </cfRule>
  </conditionalFormatting>
  <conditionalFormatting sqref="C17:C18">
    <cfRule type="cellIs" dxfId="18" priority="19" operator="equal">
      <formula>0</formula>
    </cfRule>
  </conditionalFormatting>
  <conditionalFormatting sqref="C71 C79 S14:V133 E85:K118 E119:E124 G119:K124 E125:K135">
    <cfRule type="cellIs" dxfId="17" priority="24" stopIfTrue="1" operator="equal">
      <formula>0</formula>
    </cfRule>
  </conditionalFormatting>
  <conditionalFormatting sqref="E1:E3 E5:E13 H12:I12 O13 E136:G136 H136:K138 E137:H137 E138:F138">
    <cfRule type="cellIs" dxfId="15" priority="1157" stopIfTrue="1" operator="equal">
      <formula>0</formula>
    </cfRule>
  </conditionalFormatting>
  <conditionalFormatting sqref="E14:K51 E71:K71 E52:E70 G52:K70 E80:E84 G80:K84 E79:K79 E72:E78 G72:K78">
    <cfRule type="cellIs" dxfId="14" priority="16" stopIfTrue="1" operator="equal">
      <formula>0</formula>
    </cfRule>
  </conditionalFormatting>
  <conditionalFormatting sqref="G1:G13">
    <cfRule type="cellIs" dxfId="13" priority="82" stopIfTrue="1" operator="equal">
      <formula>0</formula>
    </cfRule>
  </conditionalFormatting>
  <conditionalFormatting sqref="G137:G65603 E142:E65603">
    <cfRule type="cellIs" dxfId="12" priority="291" stopIfTrue="1" operator="equal">
      <formula>0</formula>
    </cfRule>
  </conditionalFormatting>
  <conditionalFormatting sqref="C21">
    <cfRule type="cellIs" dxfId="11" priority="13" operator="equal">
      <formula>0</formula>
    </cfRule>
  </conditionalFormatting>
  <conditionalFormatting sqref="C25">
    <cfRule type="cellIs" dxfId="10" priority="12" operator="equal">
      <formula>0</formula>
    </cfRule>
  </conditionalFormatting>
  <conditionalFormatting sqref="F52:F70">
    <cfRule type="cellIs" dxfId="9" priority="11" stopIfTrue="1" operator="equal">
      <formula>0</formula>
    </cfRule>
  </conditionalFormatting>
  <conditionalFormatting sqref="F80:F84">
    <cfRule type="cellIs" dxfId="8" priority="10" stopIfTrue="1" operator="equal">
      <formula>0</formula>
    </cfRule>
  </conditionalFormatting>
  <conditionalFormatting sqref="F72:F78">
    <cfRule type="cellIs" dxfId="7" priority="8" stopIfTrue="1" operator="equal">
      <formula>0</formula>
    </cfRule>
  </conditionalFormatting>
  <conditionalFormatting sqref="C114">
    <cfRule type="cellIs" dxfId="5" priority="6" operator="equal">
      <formula>0</formula>
    </cfRule>
  </conditionalFormatting>
  <conditionalFormatting sqref="C115">
    <cfRule type="cellIs" dxfId="4" priority="5" operator="equal">
      <formula>0</formula>
    </cfRule>
  </conditionalFormatting>
  <conditionalFormatting sqref="C120">
    <cfRule type="cellIs" dxfId="3" priority="4" operator="equal">
      <formula>0</formula>
    </cfRule>
  </conditionalFormatting>
  <conditionalFormatting sqref="F119:F124">
    <cfRule type="cellIs" dxfId="2" priority="3" stopIfTrue="1" operator="equal">
      <formula>0</formula>
    </cfRule>
  </conditionalFormatting>
  <conditionalFormatting sqref="C123">
    <cfRule type="cellIs" dxfId="1" priority="2" operator="equal">
      <formula>0</formula>
    </cfRule>
  </conditionalFormatting>
  <conditionalFormatting sqref="C134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26:F133 F117 C22:C24 F16:F51 F71:F82 F84:F112 H14:K138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ignoredErrors>
    <ignoredError sqref="K136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68A2-C064-48A0-9036-7DBDC0000577}">
  <sheetPr>
    <tabColor rgb="FF92D050"/>
  </sheetPr>
  <dimension ref="C1:AD55"/>
  <sheetViews>
    <sheetView showGridLines="0" tabSelected="1" zoomScale="80" zoomScaleNormal="80" zoomScaleSheetLayoutView="100" workbookViewId="0">
      <selection activeCell="R17" sqref="R17"/>
    </sheetView>
  </sheetViews>
  <sheetFormatPr defaultColWidth="9.140625" defaultRowHeight="12"/>
  <cols>
    <col min="1" max="2" width="1.42578125" style="462" customWidth="1"/>
    <col min="3" max="3" width="7.42578125" style="462" customWidth="1"/>
    <col min="4" max="23" width="5.7109375" style="462" customWidth="1"/>
    <col min="24" max="24" width="6.28515625" style="462" customWidth="1"/>
    <col min="25" max="26" width="5.7109375" style="462" customWidth="1"/>
    <col min="27" max="27" width="6.5703125" style="462" customWidth="1"/>
    <col min="28" max="118" width="5.7109375" style="462" customWidth="1"/>
    <col min="119" max="16384" width="9.140625" style="462"/>
  </cols>
  <sheetData>
    <row r="1" spans="3:30" ht="12.75" thickBot="1"/>
    <row r="2" spans="3:30" ht="12.75" customHeight="1">
      <c r="C2" s="463"/>
      <c r="D2" s="464"/>
      <c r="E2" s="464"/>
      <c r="F2" s="464"/>
      <c r="G2" s="464"/>
      <c r="H2" s="464"/>
      <c r="I2" s="464"/>
      <c r="J2" s="464"/>
      <c r="K2" s="464"/>
      <c r="L2" s="464"/>
      <c r="M2" s="464"/>
      <c r="N2" s="464"/>
      <c r="O2" s="464"/>
      <c r="P2" s="464"/>
      <c r="Q2" s="464"/>
      <c r="R2" s="464"/>
      <c r="S2" s="464"/>
      <c r="T2" s="464"/>
      <c r="U2" s="464"/>
      <c r="V2" s="464"/>
      <c r="W2" s="704" t="s">
        <v>1438</v>
      </c>
      <c r="X2" s="705"/>
      <c r="Y2" s="705"/>
      <c r="Z2" s="705"/>
      <c r="AA2" s="705"/>
      <c r="AB2" s="705"/>
      <c r="AC2" s="705"/>
      <c r="AD2" s="706"/>
    </row>
    <row r="3" spans="3:30">
      <c r="C3" s="465"/>
      <c r="W3" s="707"/>
      <c r="X3" s="708"/>
      <c r="Y3" s="708"/>
      <c r="Z3" s="708"/>
      <c r="AA3" s="708"/>
      <c r="AB3" s="708"/>
      <c r="AC3" s="708"/>
      <c r="AD3" s="709"/>
    </row>
    <row r="4" spans="3:30">
      <c r="C4" s="465"/>
      <c r="G4" s="466" t="s">
        <v>1642</v>
      </c>
      <c r="W4" s="467" t="s">
        <v>987</v>
      </c>
      <c r="AD4" s="468"/>
    </row>
    <row r="5" spans="3:30">
      <c r="C5" s="465"/>
      <c r="W5" s="469" t="s">
        <v>991</v>
      </c>
      <c r="X5" s="651" t="s">
        <v>990</v>
      </c>
      <c r="Y5" s="651"/>
      <c r="Z5" s="651"/>
      <c r="AA5" s="651" t="s">
        <v>988</v>
      </c>
      <c r="AB5" s="651"/>
      <c r="AC5" s="651" t="s">
        <v>989</v>
      </c>
      <c r="AD5" s="652"/>
    </row>
    <row r="6" spans="3:30">
      <c r="C6" s="465"/>
      <c r="W6" s="469">
        <v>1</v>
      </c>
      <c r="X6" s="651" t="s">
        <v>993</v>
      </c>
      <c r="Y6" s="651"/>
      <c r="Z6" s="651"/>
      <c r="AA6" s="651"/>
      <c r="AB6" s="651"/>
      <c r="AC6" s="651"/>
      <c r="AD6" s="652"/>
    </row>
    <row r="7" spans="3:30">
      <c r="C7" s="465"/>
      <c r="W7" s="469">
        <v>2</v>
      </c>
      <c r="X7" s="651" t="s">
        <v>994</v>
      </c>
      <c r="Y7" s="651"/>
      <c r="Z7" s="651"/>
      <c r="AA7" s="651"/>
      <c r="AB7" s="651"/>
      <c r="AC7" s="651"/>
      <c r="AD7" s="652"/>
    </row>
    <row r="8" spans="3:30">
      <c r="C8" s="465"/>
      <c r="W8" s="469">
        <v>3</v>
      </c>
      <c r="X8" s="651" t="s">
        <v>995</v>
      </c>
      <c r="Y8" s="651"/>
      <c r="Z8" s="651"/>
      <c r="AA8" s="651"/>
      <c r="AB8" s="651"/>
      <c r="AC8" s="651"/>
      <c r="AD8" s="652"/>
    </row>
    <row r="9" spans="3:30">
      <c r="C9" s="465"/>
      <c r="W9" s="469">
        <v>4</v>
      </c>
      <c r="X9" s="651" t="s">
        <v>996</v>
      </c>
      <c r="Y9" s="651"/>
      <c r="Z9" s="651"/>
      <c r="AA9" s="651"/>
      <c r="AB9" s="651"/>
      <c r="AC9" s="651"/>
      <c r="AD9" s="652"/>
    </row>
    <row r="10" spans="3:30">
      <c r="C10" s="465"/>
      <c r="W10" s="469">
        <v>5</v>
      </c>
      <c r="X10" s="651" t="s">
        <v>997</v>
      </c>
      <c r="Y10" s="651"/>
      <c r="Z10" s="651"/>
      <c r="AA10" s="651"/>
      <c r="AB10" s="651"/>
      <c r="AC10" s="651"/>
      <c r="AD10" s="652"/>
    </row>
    <row r="11" spans="3:30">
      <c r="C11" s="465"/>
      <c r="W11" s="469">
        <v>6</v>
      </c>
      <c r="X11" s="651" t="s">
        <v>998</v>
      </c>
      <c r="Y11" s="651"/>
      <c r="Z11" s="651"/>
      <c r="AA11" s="651"/>
      <c r="AB11" s="651"/>
      <c r="AC11" s="651"/>
      <c r="AD11" s="652"/>
    </row>
    <row r="12" spans="3:30">
      <c r="C12" s="465"/>
      <c r="W12" s="469">
        <v>7</v>
      </c>
      <c r="X12" s="651" t="s">
        <v>999</v>
      </c>
      <c r="Y12" s="651"/>
      <c r="Z12" s="651"/>
      <c r="AA12" s="651"/>
      <c r="AB12" s="651"/>
      <c r="AC12" s="651"/>
      <c r="AD12" s="652"/>
    </row>
    <row r="13" spans="3:30" ht="12.75" customHeight="1">
      <c r="C13" s="465"/>
      <c r="W13" s="469">
        <v>8</v>
      </c>
      <c r="X13" s="651" t="s">
        <v>1000</v>
      </c>
      <c r="Y13" s="651"/>
      <c r="Z13" s="651"/>
      <c r="AA13" s="651"/>
      <c r="AB13" s="651"/>
      <c r="AC13" s="651"/>
      <c r="AD13" s="652"/>
    </row>
    <row r="14" spans="3:30">
      <c r="C14" s="465"/>
      <c r="W14" s="469">
        <v>9</v>
      </c>
      <c r="X14" s="651" t="s">
        <v>1001</v>
      </c>
      <c r="Y14" s="651"/>
      <c r="Z14" s="651"/>
      <c r="AA14" s="651"/>
      <c r="AB14" s="651"/>
      <c r="AC14" s="651"/>
      <c r="AD14" s="652"/>
    </row>
    <row r="15" spans="3:30">
      <c r="C15" s="465"/>
      <c r="W15" s="469">
        <v>10</v>
      </c>
      <c r="X15" s="651" t="s">
        <v>1010</v>
      </c>
      <c r="Y15" s="651"/>
      <c r="Z15" s="651"/>
      <c r="AA15" s="651"/>
      <c r="AB15" s="651"/>
      <c r="AC15" s="651"/>
      <c r="AD15" s="652"/>
    </row>
    <row r="16" spans="3:30">
      <c r="C16" s="465"/>
      <c r="W16" s="469">
        <v>11</v>
      </c>
      <c r="X16" s="651" t="s">
        <v>1454</v>
      </c>
      <c r="Y16" s="651"/>
      <c r="Z16" s="651"/>
      <c r="AA16" s="651"/>
      <c r="AB16" s="651"/>
      <c r="AC16" s="651"/>
      <c r="AD16" s="652"/>
    </row>
    <row r="17" spans="3:30">
      <c r="C17" s="465"/>
      <c r="S17" s="471"/>
      <c r="W17" s="469">
        <v>12</v>
      </c>
      <c r="X17" s="651" t="s">
        <v>1011</v>
      </c>
      <c r="Y17" s="651"/>
      <c r="Z17" s="651"/>
      <c r="AA17" s="651"/>
      <c r="AB17" s="651"/>
      <c r="AC17" s="651"/>
      <c r="AD17" s="652"/>
    </row>
    <row r="18" spans="3:30">
      <c r="C18" s="472"/>
      <c r="D18" s="473"/>
      <c r="E18" s="473"/>
      <c r="W18" s="469">
        <v>13</v>
      </c>
      <c r="X18" s="651"/>
      <c r="Y18" s="651"/>
      <c r="Z18" s="651"/>
      <c r="AA18" s="651"/>
      <c r="AB18" s="651"/>
      <c r="AC18" s="651"/>
      <c r="AD18" s="652"/>
    </row>
    <row r="19" spans="3:30">
      <c r="C19" s="465"/>
      <c r="W19" s="474"/>
      <c r="X19" s="693"/>
      <c r="Y19" s="693"/>
      <c r="Z19" s="693"/>
      <c r="AA19" s="693"/>
      <c r="AB19" s="693"/>
      <c r="AC19" s="693"/>
      <c r="AD19" s="694"/>
    </row>
    <row r="20" spans="3:30">
      <c r="C20" s="465"/>
      <c r="Q20" s="475"/>
      <c r="W20" s="695" t="s">
        <v>992</v>
      </c>
      <c r="X20" s="696"/>
      <c r="Y20" s="696"/>
      <c r="Z20" s="696"/>
      <c r="AA20" s="696"/>
      <c r="AB20" s="696"/>
      <c r="AC20" s="696"/>
      <c r="AD20" s="697"/>
    </row>
    <row r="21" spans="3:30">
      <c r="C21" s="465"/>
      <c r="W21" s="698" t="s">
        <v>985</v>
      </c>
      <c r="X21" s="699"/>
      <c r="Y21" s="699"/>
      <c r="Z21" s="700"/>
      <c r="AA21" s="701" t="s">
        <v>986</v>
      </c>
      <c r="AB21" s="702"/>
      <c r="AC21" s="702"/>
      <c r="AD21" s="703"/>
    </row>
    <row r="22" spans="3:30">
      <c r="C22" s="465"/>
      <c r="S22" s="476"/>
      <c r="W22" s="687" t="s">
        <v>1634</v>
      </c>
      <c r="X22" s="688"/>
      <c r="Y22" s="477" t="s">
        <v>1617</v>
      </c>
      <c r="Z22" s="478">
        <v>1</v>
      </c>
      <c r="AA22" s="689"/>
      <c r="AB22" s="690"/>
      <c r="AC22" s="479"/>
      <c r="AD22" s="480"/>
    </row>
    <row r="23" spans="3:30">
      <c r="C23" s="465"/>
      <c r="W23" s="687" t="s">
        <v>1618</v>
      </c>
      <c r="X23" s="688"/>
      <c r="Y23" s="477" t="s">
        <v>1617</v>
      </c>
      <c r="Z23" s="478">
        <v>1</v>
      </c>
      <c r="AA23" s="679"/>
      <c r="AB23" s="680"/>
      <c r="AC23" s="479"/>
      <c r="AD23" s="480"/>
    </row>
    <row r="24" spans="3:30">
      <c r="C24" s="465"/>
      <c r="W24" s="687" t="s">
        <v>1626</v>
      </c>
      <c r="X24" s="688"/>
      <c r="Y24" s="477" t="s">
        <v>1627</v>
      </c>
      <c r="Z24" s="478">
        <v>1</v>
      </c>
      <c r="AA24" s="691"/>
      <c r="AB24" s="692"/>
      <c r="AC24" s="479"/>
      <c r="AD24" s="480"/>
    </row>
    <row r="25" spans="3:30">
      <c r="C25" s="465"/>
      <c r="W25" s="687" t="s">
        <v>1628</v>
      </c>
      <c r="X25" s="688"/>
      <c r="Y25" s="477" t="s">
        <v>1617</v>
      </c>
      <c r="Z25" s="478">
        <v>1</v>
      </c>
      <c r="AA25" s="679"/>
      <c r="AB25" s="680"/>
      <c r="AC25" s="479"/>
      <c r="AD25" s="480"/>
    </row>
    <row r="26" spans="3:30">
      <c r="C26" s="465"/>
      <c r="W26" s="685" t="s">
        <v>1635</v>
      </c>
      <c r="X26" s="686"/>
      <c r="Y26" s="477" t="s">
        <v>1617</v>
      </c>
      <c r="Z26" s="478">
        <v>1</v>
      </c>
      <c r="AA26" s="679"/>
      <c r="AB26" s="680"/>
      <c r="AC26" s="479"/>
      <c r="AD26" s="480"/>
    </row>
    <row r="27" spans="3:30">
      <c r="C27" s="465"/>
      <c r="W27" s="685" t="s">
        <v>1636</v>
      </c>
      <c r="X27" s="686"/>
      <c r="Y27" s="477" t="s">
        <v>1617</v>
      </c>
      <c r="Z27" s="478">
        <v>1</v>
      </c>
      <c r="AA27" s="679"/>
      <c r="AB27" s="680"/>
      <c r="AC27" s="479"/>
      <c r="AD27" s="480"/>
    </row>
    <row r="28" spans="3:30">
      <c r="C28" s="465"/>
      <c r="W28" s="677" t="s">
        <v>1629</v>
      </c>
      <c r="X28" s="678"/>
      <c r="Y28" s="477" t="s">
        <v>1617</v>
      </c>
      <c r="Z28" s="478">
        <v>2</v>
      </c>
      <c r="AA28" s="679"/>
      <c r="AB28" s="680"/>
      <c r="AC28" s="479"/>
      <c r="AD28" s="480"/>
    </row>
    <row r="29" spans="3:30">
      <c r="C29" s="465"/>
      <c r="W29" s="685" t="s">
        <v>1637</v>
      </c>
      <c r="X29" s="686"/>
      <c r="Y29" s="477" t="s">
        <v>1617</v>
      </c>
      <c r="Z29" s="478">
        <v>1</v>
      </c>
      <c r="AA29" s="679"/>
      <c r="AB29" s="680"/>
      <c r="AC29" s="479"/>
      <c r="AD29" s="480"/>
    </row>
    <row r="30" spans="3:30" ht="11.25" customHeight="1">
      <c r="C30" s="465"/>
      <c r="W30" s="677" t="s">
        <v>1638</v>
      </c>
      <c r="X30" s="678"/>
      <c r="Y30" s="477" t="s">
        <v>1617</v>
      </c>
      <c r="Z30" s="478">
        <v>1</v>
      </c>
      <c r="AA30" s="679"/>
      <c r="AB30" s="680"/>
      <c r="AC30" s="479"/>
      <c r="AD30" s="480"/>
    </row>
    <row r="31" spans="3:30">
      <c r="C31" s="465"/>
      <c r="U31" s="485"/>
      <c r="W31" s="483" t="s">
        <v>1639</v>
      </c>
      <c r="X31" s="484"/>
      <c r="Y31" s="477" t="s">
        <v>1640</v>
      </c>
      <c r="Z31" s="478">
        <v>40</v>
      </c>
      <c r="AA31" s="679"/>
      <c r="AB31" s="680"/>
      <c r="AC31" s="479"/>
      <c r="AD31" s="480"/>
    </row>
    <row r="32" spans="3:30">
      <c r="C32" s="465"/>
      <c r="U32" s="485"/>
      <c r="W32" s="481" t="s">
        <v>1641</v>
      </c>
      <c r="X32" s="482"/>
      <c r="Y32" s="477" t="s">
        <v>1640</v>
      </c>
      <c r="Z32" s="478">
        <v>200</v>
      </c>
      <c r="AA32" s="679"/>
      <c r="AB32" s="680"/>
      <c r="AC32" s="479"/>
      <c r="AD32" s="480"/>
    </row>
    <row r="33" spans="3:30">
      <c r="C33" s="465"/>
      <c r="W33" s="677"/>
      <c r="X33" s="678"/>
      <c r="Y33" s="477"/>
      <c r="Z33" s="478"/>
      <c r="AA33" s="679"/>
      <c r="AB33" s="680"/>
      <c r="AC33" s="479"/>
      <c r="AD33" s="480"/>
    </row>
    <row r="34" spans="3:30">
      <c r="C34" s="465"/>
      <c r="Q34" s="462" t="s">
        <v>1607</v>
      </c>
      <c r="W34" s="677"/>
      <c r="X34" s="678"/>
      <c r="Y34" s="477"/>
      <c r="Z34" s="478"/>
      <c r="AA34" s="679"/>
      <c r="AB34" s="680"/>
      <c r="AC34" s="479"/>
      <c r="AD34" s="480"/>
    </row>
    <row r="35" spans="3:30">
      <c r="C35" s="465"/>
      <c r="W35" s="677"/>
      <c r="X35" s="678"/>
      <c r="Y35" s="477"/>
      <c r="Z35" s="478"/>
      <c r="AA35" s="679"/>
      <c r="AB35" s="680"/>
      <c r="AC35" s="479"/>
      <c r="AD35" s="480"/>
    </row>
    <row r="36" spans="3:30">
      <c r="C36" s="465"/>
      <c r="W36" s="677"/>
      <c r="X36" s="678"/>
      <c r="Y36" s="477"/>
      <c r="Z36" s="478"/>
      <c r="AA36" s="679"/>
      <c r="AB36" s="680"/>
      <c r="AC36" s="479"/>
      <c r="AD36" s="480"/>
    </row>
    <row r="37" spans="3:30" ht="12.75" customHeight="1">
      <c r="C37" s="465"/>
      <c r="W37" s="483"/>
      <c r="X37" s="486"/>
      <c r="Y37" s="477"/>
      <c r="Z37" s="478"/>
      <c r="AA37" s="681"/>
      <c r="AB37" s="682"/>
      <c r="AC37" s="479"/>
      <c r="AD37" s="487"/>
    </row>
    <row r="38" spans="3:30" ht="12.75" customHeight="1">
      <c r="C38" s="465"/>
      <c r="W38" s="488"/>
      <c r="X38" s="489"/>
      <c r="Y38" s="477"/>
      <c r="Z38" s="490"/>
      <c r="AA38" s="683"/>
      <c r="AB38" s="684"/>
      <c r="AC38" s="479"/>
      <c r="AD38" s="487"/>
    </row>
    <row r="39" spans="3:30" ht="12" customHeight="1">
      <c r="C39" s="465"/>
      <c r="W39" s="488"/>
      <c r="X39" s="489"/>
      <c r="Y39" s="477"/>
      <c r="Z39" s="490"/>
      <c r="AA39" s="665"/>
      <c r="AB39" s="666"/>
      <c r="AC39" s="479"/>
      <c r="AD39" s="487"/>
    </row>
    <row r="40" spans="3:30" ht="12" customHeight="1">
      <c r="C40" s="465"/>
      <c r="W40" s="491"/>
      <c r="X40" s="492"/>
      <c r="Y40" s="493"/>
      <c r="Z40" s="490"/>
      <c r="AA40" s="494"/>
      <c r="AB40" s="495"/>
      <c r="AC40" s="496"/>
      <c r="AD40" s="497"/>
    </row>
    <row r="41" spans="3:30" ht="12" customHeight="1">
      <c r="C41" s="465"/>
      <c r="W41" s="667"/>
      <c r="X41" s="668"/>
      <c r="Y41" s="498"/>
      <c r="Z41" s="499"/>
      <c r="AA41" s="669"/>
      <c r="AB41" s="670"/>
      <c r="AC41" s="496"/>
      <c r="AD41" s="497"/>
    </row>
    <row r="42" spans="3:30" ht="12" customHeight="1">
      <c r="C42" s="465"/>
      <c r="W42" s="671" t="s">
        <v>1624</v>
      </c>
      <c r="X42" s="672"/>
      <c r="Y42" s="672"/>
      <c r="Z42" s="672"/>
      <c r="AA42" s="672"/>
      <c r="AB42" s="672"/>
      <c r="AC42" s="672"/>
      <c r="AD42" s="673"/>
    </row>
    <row r="43" spans="3:30" ht="12" customHeight="1">
      <c r="C43" s="465"/>
      <c r="V43" s="500"/>
      <c r="W43" s="674"/>
      <c r="X43" s="675"/>
      <c r="Y43" s="675"/>
      <c r="Z43" s="675"/>
      <c r="AA43" s="675"/>
      <c r="AB43" s="675"/>
      <c r="AC43" s="675"/>
      <c r="AD43" s="676"/>
    </row>
    <row r="44" spans="3:30">
      <c r="C44" s="501"/>
      <c r="D44" s="502"/>
      <c r="E44" s="502"/>
      <c r="F44" s="502"/>
      <c r="G44" s="502"/>
      <c r="H44" s="502"/>
      <c r="I44" s="502"/>
      <c r="N44" s="502"/>
      <c r="O44" s="502"/>
      <c r="P44" s="502"/>
      <c r="Q44" s="502"/>
      <c r="R44" s="502"/>
      <c r="S44" s="502"/>
      <c r="T44" s="502"/>
      <c r="U44" s="502"/>
      <c r="V44" s="500"/>
      <c r="W44" s="663" t="s">
        <v>11</v>
      </c>
      <c r="X44" s="650"/>
      <c r="Y44" s="651"/>
      <c r="Z44" s="651"/>
      <c r="AA44" s="651"/>
      <c r="AB44" s="651"/>
      <c r="AC44" s="651"/>
      <c r="AD44" s="652"/>
    </row>
    <row r="45" spans="3:30">
      <c r="C45" s="501"/>
      <c r="D45" s="502"/>
      <c r="E45" s="502"/>
      <c r="F45" s="502"/>
      <c r="G45" s="502"/>
      <c r="H45" s="502"/>
      <c r="I45" s="502"/>
      <c r="N45" s="502"/>
      <c r="O45" s="502"/>
      <c r="P45" s="502"/>
      <c r="Q45" s="502"/>
      <c r="R45" s="502"/>
      <c r="S45" s="502"/>
      <c r="T45" s="502"/>
      <c r="U45" s="502"/>
      <c r="V45" s="500"/>
      <c r="W45" s="663" t="s">
        <v>984</v>
      </c>
      <c r="X45" s="650"/>
      <c r="Y45" s="651">
        <v>1</v>
      </c>
      <c r="Z45" s="651"/>
      <c r="AA45" s="651"/>
      <c r="AB45" s="651" t="s">
        <v>12</v>
      </c>
      <c r="AC45" s="651"/>
      <c r="AD45" s="470" t="s">
        <v>13</v>
      </c>
    </row>
    <row r="46" spans="3:30">
      <c r="C46" s="501"/>
      <c r="D46" s="502"/>
      <c r="E46" s="502"/>
      <c r="F46" s="502"/>
      <c r="G46" s="502"/>
      <c r="H46" s="502"/>
      <c r="I46" s="502"/>
      <c r="J46" s="502"/>
      <c r="K46" s="502"/>
      <c r="L46" s="502"/>
      <c r="M46" s="502"/>
      <c r="N46" s="502"/>
      <c r="O46" s="502"/>
      <c r="P46" s="502"/>
      <c r="Q46" s="502"/>
      <c r="R46" s="502"/>
      <c r="S46" s="502"/>
      <c r="T46" s="502"/>
      <c r="U46" s="502"/>
      <c r="V46" s="500"/>
      <c r="W46" s="663" t="s">
        <v>15</v>
      </c>
      <c r="X46" s="650"/>
      <c r="Y46" s="664"/>
      <c r="Z46" s="664"/>
      <c r="AA46" s="664"/>
      <c r="AB46" s="651" t="s">
        <v>16</v>
      </c>
      <c r="AC46" s="651"/>
      <c r="AD46" s="503"/>
    </row>
    <row r="47" spans="3:30">
      <c r="C47" s="501"/>
      <c r="D47" s="502"/>
      <c r="E47" s="502"/>
      <c r="F47" s="502"/>
      <c r="G47" s="502"/>
      <c r="H47" s="502"/>
      <c r="I47" s="502"/>
      <c r="J47" s="502"/>
      <c r="K47" s="502"/>
      <c r="L47" s="502"/>
      <c r="M47" s="502"/>
      <c r="N47" s="502"/>
      <c r="O47" s="502"/>
      <c r="P47" s="502"/>
      <c r="Q47" s="502"/>
      <c r="R47" s="502"/>
      <c r="S47" s="502"/>
      <c r="T47" s="502"/>
      <c r="U47" s="502"/>
      <c r="V47" s="500"/>
      <c r="W47" s="657" t="s">
        <v>17</v>
      </c>
      <c r="X47" s="657"/>
      <c r="Y47" s="657"/>
      <c r="Z47" s="657"/>
      <c r="AA47" s="657"/>
      <c r="AB47" s="657"/>
      <c r="AC47" s="657"/>
      <c r="AD47" s="658"/>
    </row>
    <row r="48" spans="3:30" ht="12.75" customHeight="1">
      <c r="C48" s="501"/>
      <c r="D48" s="502"/>
      <c r="E48" s="502"/>
      <c r="F48" s="502"/>
      <c r="G48" s="502"/>
      <c r="H48" s="502"/>
      <c r="I48" s="502"/>
      <c r="J48" s="502"/>
      <c r="K48" s="502"/>
      <c r="L48" s="502"/>
      <c r="M48" s="502"/>
      <c r="R48" s="502"/>
      <c r="S48" s="502"/>
      <c r="T48" s="502"/>
      <c r="U48" s="502"/>
      <c r="V48" s="500"/>
      <c r="W48" s="659" t="s">
        <v>1633</v>
      </c>
      <c r="X48" s="659"/>
      <c r="Y48" s="659"/>
      <c r="Z48" s="659"/>
      <c r="AA48" s="659"/>
      <c r="AB48" s="659"/>
      <c r="AC48" s="659"/>
      <c r="AD48" s="660"/>
    </row>
    <row r="49" spans="3:30">
      <c r="C49" s="501"/>
      <c r="D49" s="504"/>
      <c r="E49" s="502"/>
      <c r="F49" s="502"/>
      <c r="G49" s="502"/>
      <c r="I49" s="502"/>
      <c r="J49" s="502"/>
      <c r="K49" s="502"/>
      <c r="L49" s="502"/>
      <c r="M49" s="502"/>
      <c r="R49" s="502"/>
      <c r="S49" s="502"/>
      <c r="T49" s="502"/>
      <c r="U49" s="502"/>
      <c r="V49" s="505"/>
      <c r="W49" s="659"/>
      <c r="X49" s="659"/>
      <c r="Y49" s="659"/>
      <c r="Z49" s="659"/>
      <c r="AA49" s="659"/>
      <c r="AB49" s="659"/>
      <c r="AC49" s="659"/>
      <c r="AD49" s="660"/>
    </row>
    <row r="50" spans="3:30">
      <c r="C50" s="501"/>
      <c r="D50" s="506"/>
      <c r="E50" s="506"/>
      <c r="F50" s="506"/>
      <c r="G50" s="506"/>
      <c r="I50" s="502"/>
      <c r="J50" s="502"/>
      <c r="K50" s="502"/>
      <c r="L50" s="502"/>
      <c r="M50" s="502"/>
      <c r="N50" s="502"/>
      <c r="O50" s="502"/>
      <c r="P50" s="502"/>
      <c r="Q50" s="502"/>
      <c r="R50" s="502"/>
      <c r="S50" s="502"/>
      <c r="T50" s="502"/>
      <c r="U50" s="502"/>
      <c r="V50" s="505"/>
      <c r="W50" s="659"/>
      <c r="X50" s="659"/>
      <c r="Y50" s="659"/>
      <c r="Z50" s="659"/>
      <c r="AA50" s="659"/>
      <c r="AB50" s="659"/>
      <c r="AC50" s="659"/>
      <c r="AD50" s="660"/>
    </row>
    <row r="51" spans="3:30" ht="19.5" customHeight="1">
      <c r="C51" s="501"/>
      <c r="D51" s="506"/>
      <c r="E51" s="506"/>
      <c r="F51" s="506"/>
      <c r="G51" s="506"/>
      <c r="I51" s="502"/>
      <c r="J51" s="502"/>
      <c r="K51" s="502"/>
      <c r="L51" s="502"/>
      <c r="M51" s="502"/>
      <c r="N51" s="502"/>
      <c r="O51" s="502"/>
      <c r="P51" s="502"/>
      <c r="Q51" s="502"/>
      <c r="R51" s="502"/>
      <c r="S51" s="502"/>
      <c r="T51" s="502"/>
      <c r="U51" s="502"/>
      <c r="V51" s="505"/>
      <c r="W51" s="661"/>
      <c r="X51" s="661"/>
      <c r="Y51" s="661"/>
      <c r="Z51" s="661"/>
      <c r="AA51" s="661"/>
      <c r="AB51" s="661"/>
      <c r="AC51" s="661"/>
      <c r="AD51" s="662"/>
    </row>
    <row r="52" spans="3:30">
      <c r="C52" s="501"/>
      <c r="D52" s="507"/>
      <c r="E52" s="507"/>
      <c r="F52" s="507"/>
      <c r="G52" s="507"/>
      <c r="I52" s="502"/>
      <c r="J52" s="502"/>
      <c r="K52" s="502"/>
      <c r="L52" s="422"/>
      <c r="M52" s="502"/>
      <c r="N52" s="502"/>
      <c r="O52" s="502"/>
      <c r="P52" s="502"/>
      <c r="Q52" s="502"/>
      <c r="R52" s="502"/>
      <c r="S52" s="502"/>
      <c r="T52" s="502"/>
      <c r="U52" s="502"/>
      <c r="V52" s="500"/>
      <c r="W52" s="649" t="s">
        <v>18</v>
      </c>
      <c r="X52" s="650"/>
      <c r="Y52" s="651" t="s">
        <v>1623</v>
      </c>
      <c r="Z52" s="651"/>
      <c r="AA52" s="651"/>
      <c r="AB52" s="651"/>
      <c r="AC52" s="651"/>
      <c r="AD52" s="652"/>
    </row>
    <row r="53" spans="3:30">
      <c r="C53" s="501"/>
      <c r="D53" s="506"/>
      <c r="E53" s="506"/>
      <c r="F53" s="506"/>
      <c r="G53" s="506"/>
      <c r="I53" s="502"/>
      <c r="J53" s="502"/>
      <c r="K53" s="502"/>
      <c r="L53" s="502"/>
      <c r="M53" s="502"/>
      <c r="N53" s="502"/>
      <c r="O53" s="502"/>
      <c r="P53" s="502"/>
      <c r="Q53" s="502"/>
      <c r="R53" s="502"/>
      <c r="S53" s="502"/>
      <c r="T53" s="502"/>
      <c r="V53" s="500"/>
      <c r="W53" s="649" t="s">
        <v>19</v>
      </c>
      <c r="X53" s="650"/>
      <c r="Y53" s="651" t="s">
        <v>1622</v>
      </c>
      <c r="Z53" s="651"/>
      <c r="AA53" s="651"/>
      <c r="AB53" s="651"/>
      <c r="AC53" s="651"/>
      <c r="AD53" s="652"/>
    </row>
    <row r="54" spans="3:30">
      <c r="C54" s="501"/>
      <c r="D54" s="423"/>
      <c r="E54" s="423"/>
      <c r="F54" s="423"/>
      <c r="G54" s="423"/>
      <c r="I54" s="502"/>
      <c r="J54" s="502"/>
      <c r="K54" s="502"/>
      <c r="L54" s="502"/>
      <c r="M54" s="502"/>
      <c r="N54" s="502"/>
      <c r="O54" s="502"/>
      <c r="P54" s="502"/>
      <c r="Q54" s="502"/>
      <c r="R54" s="502"/>
      <c r="S54" s="502"/>
      <c r="T54" s="502"/>
      <c r="V54" s="500"/>
      <c r="W54" s="649" t="s">
        <v>20</v>
      </c>
      <c r="X54" s="650"/>
      <c r="Y54" s="651" t="s">
        <v>1622</v>
      </c>
      <c r="Z54" s="651"/>
      <c r="AA54" s="651"/>
      <c r="AB54" s="651"/>
      <c r="AC54" s="651"/>
      <c r="AD54" s="652"/>
    </row>
    <row r="55" spans="3:30" ht="12.75" thickBot="1">
      <c r="C55" s="508"/>
      <c r="D55" s="509"/>
      <c r="E55" s="509"/>
      <c r="F55" s="509"/>
      <c r="G55" s="509"/>
      <c r="H55" s="509"/>
      <c r="I55" s="509"/>
      <c r="J55" s="509"/>
      <c r="K55" s="509"/>
      <c r="L55" s="509"/>
      <c r="M55" s="509"/>
      <c r="N55" s="509"/>
      <c r="O55" s="509"/>
      <c r="P55" s="509"/>
      <c r="Q55" s="509"/>
      <c r="R55" s="509"/>
      <c r="S55" s="509"/>
      <c r="T55" s="509"/>
      <c r="U55" s="510"/>
      <c r="V55" s="511"/>
      <c r="W55" s="653" t="s">
        <v>21</v>
      </c>
      <c r="X55" s="654"/>
      <c r="Y55" s="655" t="s">
        <v>1621</v>
      </c>
      <c r="Z55" s="655"/>
      <c r="AA55" s="655"/>
      <c r="AB55" s="655"/>
      <c r="AC55" s="655"/>
      <c r="AD55" s="656"/>
    </row>
  </sheetData>
  <mergeCells count="105"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96A82-131C-4510-88B2-6218709457BD}">
  <sheetPr>
    <tabColor rgb="FFFF66FF"/>
  </sheetPr>
  <dimension ref="B1:AE122"/>
  <sheetViews>
    <sheetView view="pageBreakPreview" zoomScale="47" zoomScaleNormal="40" zoomScaleSheetLayoutView="103" workbookViewId="0">
      <selection activeCell="D7" sqref="D7"/>
    </sheetView>
  </sheetViews>
  <sheetFormatPr defaultColWidth="9.140625" defaultRowHeight="12.75"/>
  <cols>
    <col min="1" max="1" width="1.7109375" style="424" customWidth="1"/>
    <col min="2" max="2" width="10.7109375" style="424" customWidth="1"/>
    <col min="3" max="3" width="2.5703125" style="424" customWidth="1"/>
    <col min="4" max="20" width="9.140625" style="424"/>
    <col min="21" max="21" width="14.5703125" style="424" customWidth="1"/>
    <col min="22" max="22" width="3.140625" style="424" customWidth="1"/>
    <col min="23" max="26" width="9.140625" style="424"/>
    <col min="27" max="27" width="2.85546875" style="424" customWidth="1"/>
    <col min="28" max="30" width="4.7109375" style="424" customWidth="1"/>
    <col min="31" max="31" width="1.7109375" style="424" customWidth="1"/>
    <col min="32" max="16384" width="9.140625" style="424"/>
  </cols>
  <sheetData>
    <row r="1" spans="2:31" ht="13.5" thickBot="1"/>
    <row r="2" spans="2:31" ht="13.5" thickBot="1">
      <c r="B2" s="425"/>
      <c r="C2" s="426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426"/>
      <c r="X2" s="426"/>
      <c r="Y2" s="426"/>
      <c r="Z2" s="426"/>
      <c r="AA2" s="426"/>
      <c r="AB2" s="426"/>
      <c r="AC2" s="426"/>
      <c r="AD2" s="427"/>
      <c r="AE2" s="428"/>
    </row>
    <row r="3" spans="2:31" ht="12.75" customHeight="1" thickTop="1">
      <c r="B3" s="429"/>
      <c r="C3" s="710" t="s">
        <v>1619</v>
      </c>
      <c r="D3" s="711"/>
      <c r="E3" s="711"/>
      <c r="F3" s="711"/>
      <c r="G3" s="711"/>
      <c r="H3" s="711"/>
      <c r="I3" s="711"/>
      <c r="J3" s="711"/>
      <c r="K3" s="711"/>
      <c r="L3" s="711"/>
      <c r="M3" s="711"/>
      <c r="N3" s="711"/>
      <c r="O3" s="711"/>
      <c r="P3" s="711"/>
      <c r="Q3" s="711"/>
      <c r="R3" s="711"/>
      <c r="S3" s="711"/>
      <c r="T3" s="711"/>
      <c r="U3" s="711"/>
      <c r="V3" s="711"/>
      <c r="W3" s="711"/>
      <c r="X3" s="711"/>
      <c r="Y3" s="711"/>
      <c r="Z3" s="711"/>
      <c r="AA3" s="711"/>
      <c r="AB3" s="712"/>
      <c r="AC3" s="430"/>
      <c r="AD3" s="428"/>
      <c r="AE3" s="428"/>
    </row>
    <row r="4" spans="2:31" ht="13.5" customHeight="1" thickBot="1">
      <c r="B4" s="429"/>
      <c r="C4" s="713"/>
      <c r="D4" s="714"/>
      <c r="E4" s="714"/>
      <c r="F4" s="714"/>
      <c r="G4" s="714"/>
      <c r="H4" s="714"/>
      <c r="I4" s="714"/>
      <c r="J4" s="714"/>
      <c r="K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  <c r="AA4" s="714"/>
      <c r="AB4" s="715"/>
      <c r="AC4" s="430"/>
      <c r="AD4" s="428"/>
      <c r="AE4" s="428"/>
    </row>
    <row r="5" spans="2:31" ht="12.75" customHeight="1" thickTop="1">
      <c r="B5" s="429"/>
      <c r="C5" s="431"/>
      <c r="AD5" s="428"/>
      <c r="AE5" s="428"/>
    </row>
    <row r="6" spans="2:31" ht="12.75" customHeight="1">
      <c r="B6" s="429"/>
      <c r="Y6" s="432"/>
      <c r="Z6" s="432"/>
      <c r="AA6" s="432"/>
      <c r="AB6" s="433"/>
      <c r="AC6" s="433"/>
      <c r="AD6" s="428"/>
      <c r="AE6" s="428"/>
    </row>
    <row r="7" spans="2:31" ht="12.75" customHeight="1">
      <c r="B7" s="429"/>
      <c r="Y7" s="432"/>
      <c r="Z7" s="432"/>
      <c r="AA7" s="432"/>
      <c r="AB7" s="433"/>
      <c r="AC7" s="433"/>
      <c r="AD7" s="428"/>
      <c r="AE7" s="428"/>
    </row>
    <row r="8" spans="2:31" ht="12.75" customHeight="1">
      <c r="B8" s="429"/>
      <c r="AD8" s="428"/>
      <c r="AE8" s="428"/>
    </row>
    <row r="9" spans="2:31" ht="12.75" customHeight="1">
      <c r="B9" s="429"/>
      <c r="AD9" s="428"/>
      <c r="AE9" s="428"/>
    </row>
    <row r="10" spans="2:31">
      <c r="B10" s="429"/>
      <c r="AD10" s="428"/>
      <c r="AE10" s="428"/>
    </row>
    <row r="11" spans="2:31">
      <c r="B11" s="429"/>
      <c r="AD11" s="428"/>
      <c r="AE11" s="428"/>
    </row>
    <row r="12" spans="2:31">
      <c r="B12" s="429"/>
      <c r="AD12" s="428"/>
      <c r="AE12" s="428"/>
    </row>
    <row r="13" spans="2:31">
      <c r="B13" s="429"/>
      <c r="AD13" s="428"/>
      <c r="AE13" s="428"/>
    </row>
    <row r="14" spans="2:31">
      <c r="B14" s="429"/>
      <c r="D14" s="434"/>
      <c r="AD14" s="428"/>
      <c r="AE14" s="428"/>
    </row>
    <row r="15" spans="2:31">
      <c r="B15" s="429"/>
      <c r="AD15" s="428"/>
      <c r="AE15" s="428"/>
    </row>
    <row r="16" spans="2:31">
      <c r="B16" s="429"/>
      <c r="AD16" s="428"/>
      <c r="AE16" s="428"/>
    </row>
    <row r="17" spans="2:31">
      <c r="B17" s="429"/>
      <c r="AD17" s="428"/>
      <c r="AE17" s="428"/>
    </row>
    <row r="18" spans="2:31">
      <c r="B18" s="429"/>
      <c r="AD18" s="428"/>
      <c r="AE18" s="428"/>
    </row>
    <row r="19" spans="2:31">
      <c r="B19" s="429"/>
      <c r="AD19" s="428"/>
      <c r="AE19" s="428"/>
    </row>
    <row r="20" spans="2:31">
      <c r="B20" s="429"/>
      <c r="AD20" s="428"/>
      <c r="AE20" s="428"/>
    </row>
    <row r="21" spans="2:31">
      <c r="B21" s="429"/>
      <c r="AD21" s="428"/>
      <c r="AE21" s="428"/>
    </row>
    <row r="22" spans="2:31">
      <c r="B22" s="429"/>
      <c r="AD22" s="428"/>
      <c r="AE22" s="428"/>
    </row>
    <row r="23" spans="2:31">
      <c r="B23" s="429"/>
      <c r="AD23" s="428"/>
      <c r="AE23" s="428"/>
    </row>
    <row r="24" spans="2:31">
      <c r="B24" s="429"/>
      <c r="AD24" s="428"/>
      <c r="AE24" s="428"/>
    </row>
    <row r="25" spans="2:31">
      <c r="B25" s="429"/>
      <c r="AD25" s="428"/>
      <c r="AE25" s="428"/>
    </row>
    <row r="26" spans="2:31">
      <c r="B26" s="429"/>
      <c r="AD26" s="428"/>
      <c r="AE26" s="428"/>
    </row>
    <row r="27" spans="2:31">
      <c r="B27" s="429"/>
      <c r="AD27" s="428"/>
      <c r="AE27" s="428"/>
    </row>
    <row r="28" spans="2:31">
      <c r="B28" s="429"/>
      <c r="AD28" s="428"/>
      <c r="AE28" s="428"/>
    </row>
    <row r="29" spans="2:31">
      <c r="B29" s="429"/>
      <c r="AD29" s="428"/>
      <c r="AE29" s="428"/>
    </row>
    <row r="30" spans="2:31">
      <c r="B30" s="429"/>
      <c r="AD30" s="428"/>
      <c r="AE30" s="428"/>
    </row>
    <row r="31" spans="2:31">
      <c r="B31" s="429"/>
      <c r="AD31" s="428"/>
      <c r="AE31" s="428"/>
    </row>
    <row r="32" spans="2:31">
      <c r="B32" s="429"/>
      <c r="AD32" s="428"/>
      <c r="AE32" s="428"/>
    </row>
    <row r="33" spans="2:31">
      <c r="B33" s="429"/>
      <c r="AD33" s="428"/>
      <c r="AE33" s="428"/>
    </row>
    <row r="34" spans="2:31">
      <c r="B34" s="429"/>
      <c r="AD34" s="428"/>
      <c r="AE34" s="428"/>
    </row>
    <row r="35" spans="2:31">
      <c r="B35" s="429"/>
      <c r="AD35" s="428"/>
      <c r="AE35" s="428"/>
    </row>
    <row r="36" spans="2:31">
      <c r="B36" s="429"/>
      <c r="AD36" s="428"/>
      <c r="AE36" s="428"/>
    </row>
    <row r="37" spans="2:31">
      <c r="B37" s="429"/>
      <c r="AD37" s="428"/>
      <c r="AE37" s="428"/>
    </row>
    <row r="38" spans="2:31">
      <c r="B38" s="429"/>
      <c r="AD38" s="428"/>
      <c r="AE38" s="428"/>
    </row>
    <row r="39" spans="2:31">
      <c r="B39" s="429"/>
      <c r="AD39" s="428"/>
      <c r="AE39" s="428"/>
    </row>
    <row r="40" spans="2:31">
      <c r="B40" s="429"/>
      <c r="AD40" s="428"/>
      <c r="AE40" s="428"/>
    </row>
    <row r="41" spans="2:31">
      <c r="B41" s="429"/>
      <c r="AD41" s="428"/>
      <c r="AE41" s="428"/>
    </row>
    <row r="42" spans="2:31">
      <c r="B42" s="429"/>
      <c r="AD42" s="428"/>
      <c r="AE42" s="428"/>
    </row>
    <row r="43" spans="2:31">
      <c r="B43" s="429"/>
      <c r="AD43" s="428"/>
      <c r="AE43" s="428"/>
    </row>
    <row r="44" spans="2:31">
      <c r="B44" s="429"/>
      <c r="AD44" s="428"/>
      <c r="AE44" s="428"/>
    </row>
    <row r="45" spans="2:31">
      <c r="B45" s="429"/>
      <c r="AD45" s="428"/>
      <c r="AE45" s="428"/>
    </row>
    <row r="46" spans="2:31">
      <c r="B46" s="429"/>
      <c r="AD46" s="428"/>
      <c r="AE46" s="428"/>
    </row>
    <row r="47" spans="2:31">
      <c r="B47" s="429"/>
      <c r="AD47" s="428"/>
      <c r="AE47" s="428"/>
    </row>
    <row r="48" spans="2:31">
      <c r="B48" s="429"/>
      <c r="AD48" s="428"/>
      <c r="AE48" s="428"/>
    </row>
    <row r="49" spans="2:31">
      <c r="B49" s="429"/>
      <c r="AD49" s="428"/>
      <c r="AE49" s="428"/>
    </row>
    <row r="50" spans="2:31">
      <c r="B50" s="429"/>
      <c r="AD50" s="428"/>
      <c r="AE50" s="428"/>
    </row>
    <row r="51" spans="2:31">
      <c r="B51" s="429"/>
      <c r="AD51" s="428"/>
      <c r="AE51" s="428"/>
    </row>
    <row r="52" spans="2:31">
      <c r="B52" s="429"/>
      <c r="AD52" s="428"/>
      <c r="AE52" s="428"/>
    </row>
    <row r="53" spans="2:31">
      <c r="B53" s="429"/>
      <c r="AD53" s="428"/>
      <c r="AE53" s="428"/>
    </row>
    <row r="54" spans="2:31">
      <c r="B54" s="429"/>
      <c r="AD54" s="428"/>
      <c r="AE54" s="428"/>
    </row>
    <row r="55" spans="2:31">
      <c r="B55" s="429"/>
      <c r="AD55" s="428"/>
      <c r="AE55" s="428"/>
    </row>
    <row r="56" spans="2:31">
      <c r="B56" s="429"/>
      <c r="R56" s="435"/>
      <c r="S56" s="435"/>
      <c r="T56" s="435"/>
      <c r="U56" s="436"/>
      <c r="V56" s="436"/>
      <c r="W56" s="436"/>
      <c r="X56" s="436"/>
      <c r="Y56" s="436"/>
      <c r="Z56" s="436"/>
      <c r="AA56" s="436"/>
      <c r="AB56" s="436"/>
      <c r="AC56" s="436"/>
      <c r="AD56" s="437"/>
      <c r="AE56" s="428"/>
    </row>
    <row r="57" spans="2:31">
      <c r="B57" s="429"/>
      <c r="R57" s="438"/>
      <c r="S57" s="435"/>
      <c r="T57" s="435"/>
      <c r="U57" s="436"/>
      <c r="V57" s="439"/>
      <c r="W57" s="436"/>
      <c r="X57" s="436"/>
      <c r="Y57" s="436"/>
      <c r="Z57" s="436"/>
      <c r="AA57" s="439"/>
      <c r="AB57" s="439"/>
      <c r="AC57" s="439"/>
      <c r="AD57" s="440"/>
      <c r="AE57" s="428"/>
    </row>
    <row r="58" spans="2:31">
      <c r="B58" s="429"/>
      <c r="U58" s="436"/>
      <c r="V58" s="439"/>
      <c r="W58" s="436"/>
      <c r="X58" s="436"/>
      <c r="Y58" s="436"/>
      <c r="Z58" s="436"/>
      <c r="AA58" s="439"/>
      <c r="AB58" s="436"/>
      <c r="AC58" s="436"/>
      <c r="AD58" s="437"/>
      <c r="AE58" s="428"/>
    </row>
    <row r="59" spans="2:31">
      <c r="B59" s="429"/>
      <c r="U59" s="436"/>
      <c r="V59" s="439"/>
      <c r="W59" s="436"/>
      <c r="X59" s="436"/>
      <c r="Y59" s="436"/>
      <c r="Z59" s="436"/>
      <c r="AA59" s="436"/>
      <c r="AB59" s="436"/>
      <c r="AC59" s="436"/>
      <c r="AD59" s="437"/>
      <c r="AE59" s="428"/>
    </row>
    <row r="60" spans="2:31">
      <c r="B60" s="429"/>
      <c r="U60" s="436"/>
      <c r="V60" s="439"/>
      <c r="W60" s="436"/>
      <c r="X60" s="436"/>
      <c r="Y60" s="436"/>
      <c r="Z60" s="436"/>
      <c r="AA60" s="436"/>
      <c r="AB60" s="436"/>
      <c r="AC60" s="436"/>
      <c r="AD60" s="437"/>
      <c r="AE60" s="428"/>
    </row>
    <row r="61" spans="2:31">
      <c r="B61" s="429"/>
      <c r="U61" s="436"/>
      <c r="V61" s="439"/>
      <c r="W61" s="436"/>
      <c r="X61" s="436"/>
      <c r="Y61" s="436"/>
      <c r="Z61" s="436"/>
      <c r="AA61" s="436"/>
      <c r="AB61" s="436"/>
      <c r="AC61" s="436"/>
      <c r="AD61" s="437"/>
      <c r="AE61" s="428"/>
    </row>
    <row r="62" spans="2:31">
      <c r="B62" s="429"/>
      <c r="U62" s="436"/>
      <c r="V62" s="439"/>
      <c r="W62" s="436"/>
      <c r="X62" s="436"/>
      <c r="Y62" s="436"/>
      <c r="Z62" s="436"/>
      <c r="AA62" s="439"/>
      <c r="AB62" s="436"/>
      <c r="AC62" s="436"/>
      <c r="AD62" s="437"/>
      <c r="AE62" s="428"/>
    </row>
    <row r="63" spans="2:31">
      <c r="B63" s="429"/>
      <c r="U63" s="436"/>
      <c r="V63" s="439"/>
      <c r="W63" s="436"/>
      <c r="X63" s="436"/>
      <c r="Y63" s="436"/>
      <c r="Z63" s="436"/>
      <c r="AA63" s="436"/>
      <c r="AB63" s="436"/>
      <c r="AC63" s="436"/>
      <c r="AD63" s="437"/>
      <c r="AE63" s="428"/>
    </row>
    <row r="64" spans="2:31">
      <c r="B64" s="429"/>
      <c r="U64" s="436"/>
      <c r="V64" s="439"/>
      <c r="W64" s="436"/>
      <c r="X64" s="436"/>
      <c r="Y64" s="436"/>
      <c r="Z64" s="436"/>
      <c r="AA64" s="436"/>
      <c r="AB64" s="436"/>
      <c r="AC64" s="436"/>
      <c r="AD64" s="437"/>
      <c r="AE64" s="428"/>
    </row>
    <row r="65" spans="2:31">
      <c r="B65" s="429"/>
      <c r="U65" s="436"/>
      <c r="V65" s="439"/>
      <c r="W65" s="436"/>
      <c r="X65" s="436"/>
      <c r="Y65" s="436"/>
      <c r="Z65" s="436"/>
      <c r="AA65" s="436"/>
      <c r="AB65" s="436"/>
      <c r="AC65" s="436"/>
      <c r="AD65" s="437"/>
      <c r="AE65" s="428"/>
    </row>
    <row r="66" spans="2:31">
      <c r="B66" s="429"/>
      <c r="U66" s="436"/>
      <c r="V66" s="439"/>
      <c r="W66" s="436"/>
      <c r="X66" s="436"/>
      <c r="Y66" s="436"/>
      <c r="Z66" s="436"/>
      <c r="AA66" s="436"/>
      <c r="AB66" s="436"/>
      <c r="AC66" s="436"/>
      <c r="AD66" s="437"/>
      <c r="AE66" s="428"/>
    </row>
    <row r="67" spans="2:31" ht="13.5" thickBot="1">
      <c r="B67" s="441"/>
      <c r="C67" s="442"/>
      <c r="D67" s="442"/>
      <c r="E67" s="442"/>
      <c r="F67" s="442"/>
      <c r="G67" s="442"/>
      <c r="H67" s="442"/>
      <c r="I67" s="442"/>
      <c r="J67" s="442"/>
      <c r="K67" s="442"/>
      <c r="L67" s="442"/>
      <c r="M67" s="442"/>
      <c r="N67" s="442"/>
      <c r="O67" s="442"/>
      <c r="P67" s="442"/>
      <c r="Q67" s="442"/>
      <c r="R67" s="442"/>
      <c r="S67" s="442"/>
      <c r="T67" s="442"/>
      <c r="U67" s="443"/>
      <c r="V67" s="444"/>
      <c r="W67" s="443"/>
      <c r="X67" s="443"/>
      <c r="Y67" s="443"/>
      <c r="Z67" s="443"/>
      <c r="AA67" s="443"/>
      <c r="AB67" s="443"/>
      <c r="AC67" s="443"/>
      <c r="AD67" s="445"/>
      <c r="AE67" s="428"/>
    </row>
    <row r="68" spans="2:31" ht="6" customHeight="1" thickBot="1">
      <c r="B68" s="442"/>
      <c r="C68" s="442"/>
      <c r="D68" s="442"/>
      <c r="E68" s="442"/>
      <c r="F68" s="442"/>
      <c r="G68" s="442"/>
      <c r="H68" s="442"/>
      <c r="I68" s="442"/>
      <c r="J68" s="442"/>
      <c r="K68" s="442"/>
      <c r="L68" s="442"/>
      <c r="M68" s="442"/>
      <c r="N68" s="442"/>
      <c r="O68" s="442"/>
      <c r="P68" s="442"/>
      <c r="Q68" s="442"/>
      <c r="R68" s="442"/>
      <c r="S68" s="442"/>
      <c r="T68" s="442"/>
      <c r="U68" s="442"/>
      <c r="V68" s="442"/>
      <c r="W68" s="442"/>
      <c r="X68" s="442"/>
      <c r="Y68" s="442"/>
      <c r="Z68" s="442"/>
      <c r="AA68" s="442"/>
      <c r="AB68" s="442"/>
      <c r="AC68" s="442"/>
      <c r="AD68" s="442"/>
      <c r="AE68" s="446"/>
    </row>
    <row r="75" spans="2:31">
      <c r="M75" s="447"/>
    </row>
    <row r="76" spans="2:31" ht="15" customHeight="1">
      <c r="E76" s="448"/>
      <c r="M76" s="447"/>
    </row>
    <row r="77" spans="2:31" ht="15" customHeight="1">
      <c r="E77" s="448"/>
      <c r="M77" s="447"/>
    </row>
    <row r="78" spans="2:31" ht="15" customHeight="1">
      <c r="E78" s="448"/>
      <c r="M78" s="447"/>
    </row>
    <row r="79" spans="2:31" ht="15" customHeight="1">
      <c r="E79" s="448"/>
      <c r="M79" s="447"/>
    </row>
    <row r="80" spans="2:31" ht="15" customHeight="1">
      <c r="E80" s="448"/>
      <c r="M80" s="447"/>
    </row>
    <row r="81" spans="5:13" ht="15" customHeight="1">
      <c r="E81" s="448"/>
      <c r="M81" s="447"/>
    </row>
    <row r="82" spans="5:13" ht="15" customHeight="1">
      <c r="E82" s="448"/>
      <c r="M82" s="447"/>
    </row>
    <row r="83" spans="5:13" ht="15" customHeight="1">
      <c r="E83" s="448"/>
      <c r="M83" s="447"/>
    </row>
    <row r="84" spans="5:13" ht="15" customHeight="1">
      <c r="E84" s="448"/>
      <c r="M84" s="447"/>
    </row>
    <row r="85" spans="5:13" ht="15" customHeight="1">
      <c r="E85" s="448"/>
      <c r="M85" s="447"/>
    </row>
    <row r="86" spans="5:13" ht="15" customHeight="1">
      <c r="E86" s="448"/>
      <c r="M86" s="447"/>
    </row>
    <row r="87" spans="5:13" ht="15" customHeight="1">
      <c r="E87" s="448"/>
      <c r="M87" s="447"/>
    </row>
    <row r="88" spans="5:13" ht="15" customHeight="1">
      <c r="E88" s="448"/>
      <c r="M88" s="447"/>
    </row>
    <row r="89" spans="5:13" ht="15" customHeight="1">
      <c r="E89" s="448"/>
      <c r="M89" s="447"/>
    </row>
    <row r="90" spans="5:13" ht="15" customHeight="1">
      <c r="E90" s="448"/>
      <c r="M90" s="447"/>
    </row>
    <row r="91" spans="5:13" ht="15" customHeight="1">
      <c r="E91" s="448"/>
      <c r="M91" s="447"/>
    </row>
    <row r="92" spans="5:13" ht="15" customHeight="1">
      <c r="E92" s="448"/>
      <c r="M92" s="447"/>
    </row>
    <row r="93" spans="5:13" ht="15" customHeight="1">
      <c r="E93" s="448"/>
      <c r="M93" s="447"/>
    </row>
    <row r="94" spans="5:13" ht="15" customHeight="1">
      <c r="E94" s="448"/>
      <c r="M94" s="447"/>
    </row>
    <row r="95" spans="5:13" ht="15" customHeight="1">
      <c r="E95" s="448"/>
      <c r="M95" s="447"/>
    </row>
    <row r="96" spans="5:13" ht="15" customHeight="1">
      <c r="E96" s="448"/>
      <c r="M96" s="447"/>
    </row>
    <row r="97" spans="5:13" ht="15" customHeight="1">
      <c r="E97" s="448"/>
      <c r="M97" s="447"/>
    </row>
    <row r="98" spans="5:13" ht="15" customHeight="1">
      <c r="E98" s="448"/>
    </row>
    <row r="99" spans="5:13" ht="15" customHeight="1">
      <c r="E99" s="448"/>
    </row>
    <row r="100" spans="5:13" ht="15" customHeight="1">
      <c r="E100" s="448"/>
    </row>
    <row r="101" spans="5:13" ht="15" customHeight="1">
      <c r="E101" s="448"/>
    </row>
    <row r="102" spans="5:13" ht="15" customHeight="1">
      <c r="E102" s="448"/>
    </row>
    <row r="103" spans="5:13" ht="15" customHeight="1">
      <c r="E103" s="448"/>
    </row>
    <row r="104" spans="5:13" ht="15" customHeight="1">
      <c r="E104" s="448"/>
    </row>
    <row r="105" spans="5:13" ht="15" customHeight="1">
      <c r="E105" s="448"/>
    </row>
    <row r="106" spans="5:13" ht="15" customHeight="1">
      <c r="E106" s="448"/>
    </row>
    <row r="107" spans="5:13" ht="15" customHeight="1">
      <c r="E107" s="448"/>
    </row>
    <row r="108" spans="5:13" ht="15" customHeight="1">
      <c r="E108" s="448"/>
    </row>
    <row r="109" spans="5:13" ht="15" customHeight="1">
      <c r="E109" s="448"/>
    </row>
    <row r="110" spans="5:13" ht="15" customHeight="1">
      <c r="E110" s="448"/>
    </row>
    <row r="111" spans="5:13" ht="15" customHeight="1">
      <c r="E111" s="448"/>
    </row>
    <row r="112" spans="5:13" ht="15" customHeight="1">
      <c r="E112" s="448"/>
    </row>
    <row r="113" spans="5:5" ht="15" customHeight="1">
      <c r="E113" s="448"/>
    </row>
    <row r="114" spans="5:5" ht="15" customHeight="1">
      <c r="E114" s="448"/>
    </row>
    <row r="115" spans="5:5" ht="15" customHeight="1">
      <c r="E115" s="448"/>
    </row>
    <row r="116" spans="5:5" ht="15" customHeight="1">
      <c r="E116" s="448"/>
    </row>
    <row r="117" spans="5:5" ht="15" customHeight="1">
      <c r="E117" s="448"/>
    </row>
    <row r="118" spans="5:5" ht="15" customHeight="1">
      <c r="E118" s="448"/>
    </row>
    <row r="119" spans="5:5" ht="15" customHeight="1">
      <c r="E119" s="448"/>
    </row>
    <row r="120" spans="5:5" ht="15" customHeight="1">
      <c r="E120" s="448"/>
    </row>
    <row r="121" spans="5:5" ht="15" customHeight="1">
      <c r="E121" s="448"/>
    </row>
    <row r="122" spans="5:5">
      <c r="E122" s="448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053F4-1B85-43C4-9EFE-A454A10C8DBF}">
  <sheetPr>
    <tabColor rgb="FF92D050"/>
  </sheetPr>
  <dimension ref="B1:AF122"/>
  <sheetViews>
    <sheetView zoomScale="43" zoomScaleNormal="130" zoomScaleSheetLayoutView="40" workbookViewId="0">
      <selection activeCell="AB51" sqref="AB51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6" t="s">
        <v>1620</v>
      </c>
      <c r="E4" s="717"/>
      <c r="F4" s="717"/>
      <c r="G4" s="717"/>
      <c r="H4" s="717"/>
      <c r="I4" s="717"/>
      <c r="J4" s="717"/>
      <c r="K4" s="717"/>
      <c r="L4" s="717"/>
      <c r="M4" s="717"/>
      <c r="N4" s="717"/>
      <c r="O4" s="717"/>
      <c r="P4" s="717"/>
      <c r="Q4" s="717"/>
      <c r="R4" s="717"/>
      <c r="S4" s="717"/>
      <c r="T4" s="717"/>
      <c r="U4" s="717"/>
      <c r="V4" s="717"/>
      <c r="W4" s="717"/>
      <c r="X4" s="717"/>
      <c r="Y4" s="717"/>
      <c r="Z4" s="717"/>
      <c r="AA4" s="717"/>
      <c r="AB4" s="717"/>
      <c r="AC4" s="718"/>
      <c r="AD4" s="206"/>
      <c r="AE4" s="205"/>
      <c r="AF4" s="205"/>
    </row>
    <row r="5" spans="2:32" ht="13.5" customHeight="1" thickBot="1">
      <c r="B5" s="204"/>
      <c r="C5" s="204"/>
      <c r="D5" s="719"/>
      <c r="E5" s="720"/>
      <c r="F5" s="720"/>
      <c r="G5" s="720"/>
      <c r="H5" s="720"/>
      <c r="I5" s="720"/>
      <c r="J5" s="720"/>
      <c r="K5" s="720"/>
      <c r="L5" s="720"/>
      <c r="M5" s="720"/>
      <c r="N5" s="720"/>
      <c r="O5" s="720"/>
      <c r="P5" s="720"/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0"/>
      <c r="AC5" s="721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58"/>
    </row>
    <row r="76" spans="2:32" ht="15" customHeight="1">
      <c r="F76" s="459"/>
      <c r="N76" s="458"/>
    </row>
    <row r="77" spans="2:32" ht="15" customHeight="1">
      <c r="F77" s="459"/>
      <c r="N77" s="458"/>
    </row>
    <row r="78" spans="2:32" ht="15" customHeight="1">
      <c r="F78" s="459"/>
      <c r="N78" s="458"/>
    </row>
    <row r="79" spans="2:32" ht="15" customHeight="1">
      <c r="F79" s="459"/>
      <c r="N79" s="458"/>
    </row>
    <row r="80" spans="2:32" ht="15" customHeight="1">
      <c r="F80" s="459"/>
      <c r="N80" s="458"/>
    </row>
    <row r="81" spans="6:14" ht="15" customHeight="1">
      <c r="F81" s="459"/>
      <c r="N81" s="458"/>
    </row>
    <row r="82" spans="6:14" ht="15" customHeight="1">
      <c r="F82" s="459"/>
      <c r="N82" s="458"/>
    </row>
    <row r="83" spans="6:14" ht="15" customHeight="1">
      <c r="F83" s="459"/>
      <c r="N83" s="458"/>
    </row>
    <row r="84" spans="6:14" ht="15" customHeight="1">
      <c r="F84" s="459"/>
      <c r="N84" s="458"/>
    </row>
    <row r="85" spans="6:14" ht="15" customHeight="1">
      <c r="F85" s="459"/>
      <c r="N85" s="458"/>
    </row>
    <row r="86" spans="6:14" ht="15" customHeight="1">
      <c r="F86" s="459"/>
      <c r="N86" s="458"/>
    </row>
    <row r="87" spans="6:14" ht="15" customHeight="1">
      <c r="F87" s="459"/>
      <c r="N87" s="458"/>
    </row>
    <row r="88" spans="6:14" ht="15" customHeight="1">
      <c r="F88" s="459"/>
      <c r="N88" s="458"/>
    </row>
    <row r="89" spans="6:14" ht="15" customHeight="1">
      <c r="F89" s="459"/>
      <c r="N89" s="458"/>
    </row>
    <row r="90" spans="6:14" ht="15" customHeight="1">
      <c r="F90" s="459"/>
      <c r="N90" s="458"/>
    </row>
    <row r="91" spans="6:14" ht="15" customHeight="1">
      <c r="F91" s="459"/>
      <c r="N91" s="458"/>
    </row>
    <row r="92" spans="6:14" ht="15" customHeight="1">
      <c r="F92" s="459"/>
      <c r="N92" s="458"/>
    </row>
    <row r="93" spans="6:14" ht="15" customHeight="1">
      <c r="F93" s="459"/>
      <c r="N93" s="458"/>
    </row>
    <row r="94" spans="6:14" ht="15" customHeight="1">
      <c r="F94" s="459"/>
      <c r="N94" s="458"/>
    </row>
    <row r="95" spans="6:14" ht="15" customHeight="1">
      <c r="F95" s="459"/>
      <c r="N95" s="458"/>
    </row>
    <row r="96" spans="6:14" ht="15" customHeight="1">
      <c r="F96" s="459"/>
      <c r="N96" s="458"/>
    </row>
    <row r="97" spans="6:14" ht="15" customHeight="1">
      <c r="F97" s="459"/>
      <c r="N97" s="458"/>
    </row>
    <row r="98" spans="6:14" ht="15" customHeight="1">
      <c r="F98" s="459"/>
    </row>
    <row r="99" spans="6:14" ht="15" customHeight="1">
      <c r="F99" s="459"/>
    </row>
    <row r="100" spans="6:14" ht="15" customHeight="1">
      <c r="F100" s="459"/>
    </row>
    <row r="101" spans="6:14" ht="15" customHeight="1">
      <c r="F101" s="459"/>
    </row>
    <row r="102" spans="6:14" ht="15" customHeight="1">
      <c r="F102" s="459"/>
    </row>
    <row r="103" spans="6:14" ht="15" customHeight="1">
      <c r="F103" s="459"/>
    </row>
    <row r="104" spans="6:14" ht="15" customHeight="1">
      <c r="F104" s="459"/>
    </row>
    <row r="105" spans="6:14" ht="15" customHeight="1">
      <c r="F105" s="459"/>
    </row>
    <row r="106" spans="6:14" ht="15" customHeight="1">
      <c r="F106" s="459"/>
    </row>
    <row r="107" spans="6:14" ht="15" customHeight="1">
      <c r="F107" s="459"/>
    </row>
    <row r="108" spans="6:14" ht="15" customHeight="1">
      <c r="F108" s="459"/>
    </row>
    <row r="109" spans="6:14" ht="15" customHeight="1">
      <c r="F109" s="459"/>
    </row>
    <row r="110" spans="6:14" ht="15" customHeight="1">
      <c r="F110" s="459"/>
    </row>
    <row r="111" spans="6:14" ht="15" customHeight="1">
      <c r="F111" s="459"/>
    </row>
    <row r="112" spans="6:14" ht="15" customHeight="1">
      <c r="F112" s="459"/>
    </row>
    <row r="113" spans="6:6" ht="15" customHeight="1">
      <c r="F113" s="459"/>
    </row>
    <row r="114" spans="6:6" ht="15" customHeight="1">
      <c r="F114" s="459"/>
    </row>
    <row r="115" spans="6:6" ht="15" customHeight="1">
      <c r="F115" s="459"/>
    </row>
    <row r="116" spans="6:6" ht="15" customHeight="1">
      <c r="F116" s="459"/>
    </row>
    <row r="117" spans="6:6" ht="15" customHeight="1">
      <c r="F117" s="459"/>
    </row>
    <row r="118" spans="6:6" ht="15" customHeight="1">
      <c r="F118" s="459"/>
    </row>
    <row r="119" spans="6:6" ht="15" customHeight="1">
      <c r="F119" s="459"/>
    </row>
    <row r="120" spans="6:6" ht="15" customHeight="1">
      <c r="F120" s="459"/>
    </row>
    <row r="121" spans="6:6" ht="15" customHeight="1">
      <c r="F121" s="459"/>
    </row>
    <row r="122" spans="6:6">
      <c r="F122" s="459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7">
        <v>1</v>
      </c>
    </row>
    <row r="2" spans="1:11" ht="48" customHeight="1">
      <c r="A2" s="387">
        <v>3</v>
      </c>
    </row>
    <row r="4" spans="1:11" ht="48" customHeight="1">
      <c r="C4" s="387">
        <v>1</v>
      </c>
    </row>
    <row r="5" spans="1:11" ht="48" customHeight="1">
      <c r="C5" s="387">
        <v>3</v>
      </c>
    </row>
    <row r="7" spans="1:11" ht="48" customHeight="1">
      <c r="E7" s="387">
        <v>1</v>
      </c>
    </row>
    <row r="8" spans="1:11" ht="48" customHeight="1">
      <c r="E8" s="387">
        <v>3</v>
      </c>
    </row>
    <row r="10" spans="1:11" ht="48" customHeight="1">
      <c r="G10" s="387">
        <v>3</v>
      </c>
    </row>
    <row r="11" spans="1:11" ht="48" customHeight="1">
      <c r="G11" s="387">
        <v>1</v>
      </c>
    </row>
    <row r="13" spans="1:11" ht="48" customHeight="1">
      <c r="I13" s="387">
        <v>3</v>
      </c>
    </row>
    <row r="14" spans="1:11" ht="48" customHeight="1">
      <c r="I14" s="387">
        <v>1</v>
      </c>
    </row>
    <row r="16" spans="1:11" ht="48" customHeight="1">
      <c r="K16" s="387">
        <v>3</v>
      </c>
    </row>
    <row r="17" spans="11:21" ht="48" customHeight="1">
      <c r="K17" s="387">
        <v>1</v>
      </c>
    </row>
    <row r="19" spans="11:21" ht="48" customHeight="1">
      <c r="M19" s="387">
        <v>3</v>
      </c>
    </row>
    <row r="20" spans="11:21" ht="48" customHeight="1">
      <c r="M20" s="387">
        <v>1</v>
      </c>
    </row>
    <row r="22" spans="11:21" ht="48" customHeight="1">
      <c r="O22" s="387">
        <v>3</v>
      </c>
    </row>
    <row r="23" spans="11:21" ht="48" customHeight="1">
      <c r="O23" s="387">
        <v>1</v>
      </c>
    </row>
    <row r="25" spans="11:21" ht="57" customHeight="1">
      <c r="Q25" s="387">
        <v>3</v>
      </c>
    </row>
    <row r="26" spans="11:21" ht="57" customHeight="1">
      <c r="Q26" s="387">
        <v>1</v>
      </c>
    </row>
    <row r="28" spans="11:21" ht="57" customHeight="1">
      <c r="S28" s="387">
        <v>3</v>
      </c>
    </row>
    <row r="29" spans="11:21" ht="57" customHeight="1">
      <c r="S29" s="387">
        <v>1</v>
      </c>
    </row>
    <row r="31" spans="11:21" ht="57" customHeight="1">
      <c r="U31" s="387">
        <v>3</v>
      </c>
    </row>
    <row r="32" spans="11:21" ht="57" customHeight="1">
      <c r="U32" s="38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 </vt:lpstr>
      <vt:lpstr>SLD </vt:lpstr>
      <vt:lpstr>PDL</vt:lpstr>
      <vt:lpstr>'HARGA SATUAN'!Print_Area</vt:lpstr>
      <vt:lpstr>KKF!Print_Area</vt:lpstr>
      <vt:lpstr>KKO!Print_Area</vt:lpstr>
      <vt:lpstr>'Peta lokasi 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2023-11-21T06:57:37Z</dcterms:modified>
</cp:coreProperties>
</file>