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EC16FA38-1504-4484-93F7-DCDC537E206F}" xr6:coauthVersionLast="47" xr6:coauthVersionMax="47" xr10:uidLastSave="{00000000-0000-0000-0000-000000000000}"/>
  <bookViews>
    <workbookView xWindow="-120" yWindow="-120" windowWidth="20730" windowHeight="1116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RAB!$A$1:$K$119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58" i="11" l="1"/>
  <c r="F57" i="11"/>
  <c r="F56" i="11"/>
  <c r="F55" i="11"/>
  <c r="F52" i="11"/>
  <c r="F51" i="11"/>
  <c r="F50" i="11"/>
  <c r="F49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D47" i="11"/>
  <c r="J47" i="11" s="1"/>
  <c r="E47" i="11"/>
  <c r="D48" i="11"/>
  <c r="I48" i="11" s="1"/>
  <c r="E48" i="11"/>
  <c r="D49" i="11"/>
  <c r="H49" i="11" s="1"/>
  <c r="E49" i="11"/>
  <c r="D50" i="11"/>
  <c r="H50" i="11" s="1"/>
  <c r="E50" i="11"/>
  <c r="D51" i="11"/>
  <c r="J51" i="11" s="1"/>
  <c r="E51" i="11"/>
  <c r="D52" i="11"/>
  <c r="I52" i="11" s="1"/>
  <c r="E52" i="11"/>
  <c r="D53" i="11"/>
  <c r="H53" i="11" s="1"/>
  <c r="E53" i="11"/>
  <c r="D54" i="11"/>
  <c r="H54" i="11" s="1"/>
  <c r="E54" i="11"/>
  <c r="D55" i="11"/>
  <c r="J55" i="11" s="1"/>
  <c r="E55" i="11"/>
  <c r="D56" i="11"/>
  <c r="I56" i="11" s="1"/>
  <c r="E56" i="11"/>
  <c r="D57" i="11"/>
  <c r="H57" i="11" s="1"/>
  <c r="E57" i="11"/>
  <c r="F46" i="11"/>
  <c r="F45" i="11"/>
  <c r="F44" i="11"/>
  <c r="F43" i="11"/>
  <c r="F42" i="11"/>
  <c r="F41" i="11"/>
  <c r="F38" i="11"/>
  <c r="F37" i="11"/>
  <c r="F36" i="11"/>
  <c r="F35" i="11"/>
  <c r="F25" i="11"/>
  <c r="F24" i="11"/>
  <c r="F23" i="11"/>
  <c r="F22" i="11"/>
  <c r="F21" i="11"/>
  <c r="F32" i="11"/>
  <c r="F31" i="11"/>
  <c r="F30" i="11"/>
  <c r="F29" i="11"/>
  <c r="F28" i="11"/>
  <c r="I55" i="11" l="1"/>
  <c r="H52" i="11"/>
  <c r="J50" i="11"/>
  <c r="I47" i="11"/>
  <c r="H56" i="11"/>
  <c r="I51" i="11"/>
  <c r="H48" i="11"/>
  <c r="J57" i="11"/>
  <c r="H55" i="11"/>
  <c r="K55" i="11" s="1"/>
  <c r="I54" i="11"/>
  <c r="J53" i="11"/>
  <c r="H51" i="11"/>
  <c r="I50" i="11"/>
  <c r="J49" i="11"/>
  <c r="H47" i="11"/>
  <c r="J54" i="11"/>
  <c r="I57" i="11"/>
  <c r="J56" i="11"/>
  <c r="I53" i="11"/>
  <c r="K53" i="11" s="1"/>
  <c r="J52" i="11"/>
  <c r="I49" i="11"/>
  <c r="J48" i="11"/>
  <c r="K50" i="11" l="1"/>
  <c r="K48" i="11"/>
  <c r="K56" i="11"/>
  <c r="K52" i="11"/>
  <c r="K51" i="11"/>
  <c r="K47" i="11"/>
  <c r="K49" i="11"/>
  <c r="K57" i="11"/>
  <c r="K54" i="11"/>
  <c r="G86" i="11" l="1"/>
  <c r="G87" i="11"/>
  <c r="G88" i="11"/>
  <c r="G89" i="11"/>
  <c r="G90" i="11"/>
  <c r="F90" i="11"/>
  <c r="F88" i="11"/>
  <c r="F87" i="11"/>
  <c r="F86" i="11"/>
  <c r="D16" i="11"/>
  <c r="D17" i="11"/>
  <c r="D18" i="11"/>
  <c r="F97" i="11" l="1"/>
  <c r="F96" i="11"/>
  <c r="F95" i="11"/>
  <c r="F94" i="11"/>
  <c r="F93" i="11"/>
  <c r="D90" i="11"/>
  <c r="H90" i="11" s="1"/>
  <c r="E90" i="11"/>
  <c r="G84" i="11"/>
  <c r="G85" i="11"/>
  <c r="G91" i="11"/>
  <c r="G92" i="11"/>
  <c r="G93" i="11"/>
  <c r="G94" i="11"/>
  <c r="G95" i="11"/>
  <c r="G96" i="11"/>
  <c r="G97" i="11"/>
  <c r="G98" i="11"/>
  <c r="D84" i="11"/>
  <c r="H84" i="11" s="1"/>
  <c r="E84" i="11"/>
  <c r="D85" i="11"/>
  <c r="J85" i="11" s="1"/>
  <c r="E85" i="11"/>
  <c r="D86" i="11"/>
  <c r="I86" i="11" s="1"/>
  <c r="E86" i="11"/>
  <c r="D87" i="11"/>
  <c r="E87" i="11"/>
  <c r="D88" i="11"/>
  <c r="E88" i="11"/>
  <c r="D89" i="11"/>
  <c r="E89" i="11"/>
  <c r="D91" i="11"/>
  <c r="I91" i="11" s="1"/>
  <c r="E91" i="11"/>
  <c r="D92" i="11"/>
  <c r="H92" i="11" s="1"/>
  <c r="E92" i="11"/>
  <c r="D93" i="11"/>
  <c r="H93" i="11" s="1"/>
  <c r="E93" i="11"/>
  <c r="D94" i="11"/>
  <c r="J94" i="11" s="1"/>
  <c r="E94" i="11"/>
  <c r="D95" i="11"/>
  <c r="E95" i="11"/>
  <c r="D96" i="11"/>
  <c r="H96" i="11" s="1"/>
  <c r="E96" i="11"/>
  <c r="D97" i="11"/>
  <c r="H97" i="11" s="1"/>
  <c r="E97" i="11"/>
  <c r="D98" i="11"/>
  <c r="J98" i="11" s="1"/>
  <c r="E98" i="11"/>
  <c r="G15" i="11"/>
  <c r="G16" i="11"/>
  <c r="G17" i="11"/>
  <c r="I17" i="11" s="1"/>
  <c r="H17" i="11"/>
  <c r="J17" i="11"/>
  <c r="G18" i="11"/>
  <c r="J18" i="11" s="1"/>
  <c r="H18" i="11"/>
  <c r="I18" i="11"/>
  <c r="I95" i="11" l="1"/>
  <c r="J90" i="11"/>
  <c r="I90" i="11"/>
  <c r="H88" i="11"/>
  <c r="J89" i="11"/>
  <c r="H87" i="11"/>
  <c r="J93" i="11"/>
  <c r="H91" i="11"/>
  <c r="H85" i="11"/>
  <c r="I94" i="11"/>
  <c r="J88" i="11"/>
  <c r="H86" i="11"/>
  <c r="H94" i="11"/>
  <c r="J92" i="11"/>
  <c r="I89" i="11"/>
  <c r="J84" i="11"/>
  <c r="H95" i="11"/>
  <c r="H89" i="11"/>
  <c r="J87" i="11"/>
  <c r="I85" i="11"/>
  <c r="I98" i="11"/>
  <c r="J97" i="11"/>
  <c r="H98" i="11"/>
  <c r="I97" i="11"/>
  <c r="J96" i="11"/>
  <c r="I93" i="11"/>
  <c r="I88" i="11"/>
  <c r="I84" i="11"/>
  <c r="I96" i="11"/>
  <c r="J95" i="11"/>
  <c r="I92" i="11"/>
  <c r="J91" i="11"/>
  <c r="I87" i="11"/>
  <c r="J86" i="11"/>
  <c r="K18" i="11"/>
  <c r="K17" i="11"/>
  <c r="K96" i="11" l="1"/>
  <c r="K93" i="11"/>
  <c r="K90" i="11"/>
  <c r="K89" i="11"/>
  <c r="K87" i="11"/>
  <c r="K97" i="11"/>
  <c r="K95" i="11"/>
  <c r="K94" i="11"/>
  <c r="K92" i="11"/>
  <c r="K88" i="11"/>
  <c r="K86" i="11"/>
  <c r="K91" i="11"/>
  <c r="K84" i="11"/>
  <c r="K98" i="11"/>
  <c r="K85" i="11"/>
  <c r="D8" i="59" l="1"/>
  <c r="E16" i="11"/>
  <c r="E17" i="11"/>
  <c r="E18" i="11"/>
  <c r="G40" i="11"/>
  <c r="G41" i="11"/>
  <c r="G42" i="11"/>
  <c r="G43" i="11"/>
  <c r="G44" i="11"/>
  <c r="G45" i="11"/>
  <c r="D40" i="11"/>
  <c r="J40" i="11" s="1"/>
  <c r="E40" i="11"/>
  <c r="D41" i="11"/>
  <c r="E41" i="11"/>
  <c r="D42" i="11"/>
  <c r="H42" i="11" s="1"/>
  <c r="E42" i="11"/>
  <c r="D43" i="11"/>
  <c r="H43" i="11" s="1"/>
  <c r="E43" i="11"/>
  <c r="D44" i="11"/>
  <c r="E44" i="11"/>
  <c r="D45" i="11"/>
  <c r="E45" i="11"/>
  <c r="D46" i="11"/>
  <c r="E46" i="11"/>
  <c r="J46" i="11" l="1"/>
  <c r="H46" i="11"/>
  <c r="I46" i="11"/>
  <c r="I45" i="11"/>
  <c r="J44" i="11"/>
  <c r="I41" i="11"/>
  <c r="H45" i="11"/>
  <c r="I44" i="11"/>
  <c r="J43" i="11"/>
  <c r="H41" i="11"/>
  <c r="I40" i="11"/>
  <c r="H44" i="11"/>
  <c r="I43" i="11"/>
  <c r="J42" i="11"/>
  <c r="H40" i="11"/>
  <c r="J45" i="11"/>
  <c r="I42" i="11"/>
  <c r="J41" i="11"/>
  <c r="K46" i="11" l="1"/>
  <c r="K43" i="11"/>
  <c r="K44" i="11"/>
  <c r="K42" i="11"/>
  <c r="K40" i="11"/>
  <c r="K45" i="11"/>
  <c r="K41" i="11"/>
  <c r="D83" i="11" l="1"/>
  <c r="H83" i="11" s="1"/>
  <c r="D99" i="11"/>
  <c r="J99" i="11" s="1"/>
  <c r="G83" i="11"/>
  <c r="D15" i="11"/>
  <c r="D19" i="11"/>
  <c r="H19" i="11" s="1"/>
  <c r="D20" i="11"/>
  <c r="H20" i="11" s="1"/>
  <c r="G19" i="11"/>
  <c r="G20" i="11"/>
  <c r="G21" i="11"/>
  <c r="K6" i="60"/>
  <c r="M100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79" i="11"/>
  <c r="E79" i="11"/>
  <c r="D79" i="11"/>
  <c r="G78" i="11"/>
  <c r="E78" i="11"/>
  <c r="D78" i="11"/>
  <c r="H78" i="11" s="1"/>
  <c r="G77" i="11"/>
  <c r="E77" i="11"/>
  <c r="D77" i="11"/>
  <c r="G76" i="11"/>
  <c r="E76" i="11"/>
  <c r="D76" i="11"/>
  <c r="J76" i="11" s="1"/>
  <c r="G75" i="11"/>
  <c r="E75" i="11"/>
  <c r="D75" i="11"/>
  <c r="I75" i="11" s="1"/>
  <c r="G74" i="11"/>
  <c r="E74" i="11"/>
  <c r="D74" i="11"/>
  <c r="G73" i="11"/>
  <c r="E73" i="11"/>
  <c r="D73" i="11"/>
  <c r="H73" i="11" s="1"/>
  <c r="G72" i="11"/>
  <c r="E72" i="11"/>
  <c r="D72" i="11"/>
  <c r="G71" i="11"/>
  <c r="E71" i="11"/>
  <c r="D71" i="11"/>
  <c r="G70" i="11"/>
  <c r="E70" i="11"/>
  <c r="D70" i="11"/>
  <c r="G69" i="11"/>
  <c r="E69" i="11"/>
  <c r="D69" i="11"/>
  <c r="J69" i="11" s="1"/>
  <c r="G68" i="11"/>
  <c r="E68" i="11"/>
  <c r="D68" i="11"/>
  <c r="J68" i="11" s="1"/>
  <c r="G67" i="11"/>
  <c r="E67" i="11"/>
  <c r="D67" i="11"/>
  <c r="G66" i="11"/>
  <c r="E66" i="11"/>
  <c r="D66" i="11"/>
  <c r="G65" i="11"/>
  <c r="E65" i="11"/>
  <c r="D65" i="11"/>
  <c r="G64" i="11"/>
  <c r="E64" i="11"/>
  <c r="D64" i="11"/>
  <c r="G63" i="11"/>
  <c r="E63" i="11"/>
  <c r="D63" i="11"/>
  <c r="J63" i="11" s="1"/>
  <c r="G62" i="11"/>
  <c r="E62" i="11"/>
  <c r="D62" i="11"/>
  <c r="G61" i="11"/>
  <c r="E61" i="11"/>
  <c r="D61" i="11"/>
  <c r="G60" i="11"/>
  <c r="E60" i="11"/>
  <c r="D60" i="11"/>
  <c r="G59" i="11"/>
  <c r="E59" i="11"/>
  <c r="D59" i="11"/>
  <c r="G58" i="11"/>
  <c r="E58" i="11"/>
  <c r="D58" i="11"/>
  <c r="M58" i="11"/>
  <c r="D14" i="59"/>
  <c r="D5" i="60" s="1"/>
  <c r="K5" i="60" s="1"/>
  <c r="E39" i="11"/>
  <c r="D39" i="11"/>
  <c r="E38" i="11"/>
  <c r="D38" i="1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E25" i="11"/>
  <c r="D25" i="11"/>
  <c r="G24" i="11"/>
  <c r="E24" i="11"/>
  <c r="D24" i="11"/>
  <c r="E23" i="11"/>
  <c r="D23" i="11"/>
  <c r="J23" i="11" s="1"/>
  <c r="G22" i="11"/>
  <c r="E22" i="11"/>
  <c r="D22" i="11"/>
  <c r="E21" i="11"/>
  <c r="D21" i="11"/>
  <c r="E20" i="11"/>
  <c r="E19" i="11"/>
  <c r="E15" i="11"/>
  <c r="A15" i="11"/>
  <c r="D19" i="59"/>
  <c r="D18" i="59"/>
  <c r="M16" i="11"/>
  <c r="E83" i="11"/>
  <c r="D80" i="11"/>
  <c r="E80" i="11"/>
  <c r="D81" i="11"/>
  <c r="E81" i="11"/>
  <c r="M83" i="11"/>
  <c r="D82" i="11"/>
  <c r="E82" i="11"/>
  <c r="E99" i="11"/>
  <c r="G99" i="11"/>
  <c r="D14" i="11"/>
  <c r="H14" i="11" s="1"/>
  <c r="E14" i="11"/>
  <c r="G14" i="11"/>
  <c r="K19" i="60"/>
  <c r="D19" i="60"/>
  <c r="M99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100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00" i="11"/>
  <c r="D101" i="11"/>
  <c r="E101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01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82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81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00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8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80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92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22" i="11" l="1"/>
  <c r="I59" i="11"/>
  <c r="H26" i="11"/>
  <c r="J38" i="11"/>
  <c r="H15" i="11"/>
  <c r="I15" i="11"/>
  <c r="J15" i="11"/>
  <c r="J16" i="11"/>
  <c r="H16" i="11"/>
  <c r="I16" i="11"/>
  <c r="H82" i="11"/>
  <c r="D312" i="29"/>
  <c r="E312" i="29" s="1"/>
  <c r="D802" i="41"/>
  <c r="E802" i="41" s="1"/>
  <c r="D22" i="59"/>
  <c r="K8" i="60" s="1"/>
  <c r="D21" i="59"/>
  <c r="M93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94" i="11"/>
  <c r="M95" i="11"/>
  <c r="M97" i="11"/>
  <c r="M96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82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80" i="11"/>
  <c r="I80" i="11"/>
  <c r="F806" i="41"/>
  <c r="E1081" i="41"/>
  <c r="E1027" i="41"/>
  <c r="F861" i="41"/>
  <c r="E861" i="41"/>
  <c r="E230" i="29"/>
  <c r="E346" i="29"/>
  <c r="E274" i="29"/>
  <c r="F274" i="29"/>
  <c r="H101" i="11"/>
  <c r="J101" i="11"/>
  <c r="I37" i="11"/>
  <c r="J35" i="11"/>
  <c r="J82" i="11"/>
  <c r="H33" i="11"/>
  <c r="I34" i="11"/>
  <c r="E340" i="29"/>
  <c r="H28" i="11"/>
  <c r="I33" i="11"/>
  <c r="I63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63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J81" i="11"/>
  <c r="I81" i="11"/>
  <c r="E348" i="29"/>
  <c r="E59" i="39"/>
  <c r="E290" i="29"/>
  <c r="I28" i="11"/>
  <c r="F323" i="29"/>
  <c r="E260" i="29"/>
  <c r="E236" i="29"/>
  <c r="E73" i="39"/>
  <c r="E341" i="29"/>
  <c r="F341" i="29"/>
  <c r="F299" i="29"/>
  <c r="H39" i="11"/>
  <c r="J39" i="11"/>
  <c r="J79" i="11"/>
  <c r="H79" i="11"/>
  <c r="I79" i="11"/>
  <c r="F300" i="29"/>
  <c r="E284" i="29"/>
  <c r="M57" i="11"/>
  <c r="J19" i="11"/>
  <c r="F233" i="29"/>
  <c r="E58" i="39"/>
  <c r="F319" i="29"/>
  <c r="F310" i="29"/>
  <c r="I39" i="11"/>
  <c r="I36" i="11"/>
  <c r="I31" i="11"/>
  <c r="H81" i="11"/>
  <c r="I35" i="11"/>
  <c r="H80" i="11"/>
  <c r="J22" i="11"/>
  <c r="J20" i="11"/>
  <c r="M91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58" i="11"/>
  <c r="H58" i="11"/>
  <c r="H62" i="11"/>
  <c r="J62" i="11"/>
  <c r="I62" i="11"/>
  <c r="J66" i="11"/>
  <c r="I66" i="11"/>
  <c r="H66" i="11"/>
  <c r="J70" i="11"/>
  <c r="H70" i="11"/>
  <c r="I74" i="11"/>
  <c r="J74" i="11"/>
  <c r="H74" i="11"/>
  <c r="J25" i="11"/>
  <c r="H25" i="11"/>
  <c r="I58" i="11"/>
  <c r="I61" i="11"/>
  <c r="H61" i="11"/>
  <c r="J61" i="11"/>
  <c r="I65" i="11"/>
  <c r="J65" i="11"/>
  <c r="H65" i="11"/>
  <c r="H69" i="11"/>
  <c r="I69" i="11"/>
  <c r="I73" i="11"/>
  <c r="J73" i="11"/>
  <c r="I77" i="11"/>
  <c r="H77" i="11"/>
  <c r="J77" i="11"/>
  <c r="I101" i="11"/>
  <c r="I32" i="11"/>
  <c r="J24" i="11"/>
  <c r="H24" i="11"/>
  <c r="I24" i="11"/>
  <c r="J60" i="11"/>
  <c r="H60" i="11"/>
  <c r="I60" i="11"/>
  <c r="J64" i="11"/>
  <c r="H64" i="11"/>
  <c r="I64" i="11"/>
  <c r="I68" i="11"/>
  <c r="H68" i="11"/>
  <c r="J72" i="11"/>
  <c r="H72" i="11"/>
  <c r="I72" i="11"/>
  <c r="H76" i="11"/>
  <c r="I76" i="11"/>
  <c r="I70" i="11"/>
  <c r="H59" i="11"/>
  <c r="J59" i="11"/>
  <c r="I67" i="11"/>
  <c r="H67" i="11"/>
  <c r="J67" i="11"/>
  <c r="J71" i="11"/>
  <c r="H71" i="11"/>
  <c r="I71" i="11"/>
  <c r="J75" i="11"/>
  <c r="H75" i="11"/>
  <c r="I78" i="11"/>
  <c r="I99" i="11"/>
  <c r="J83" i="11"/>
  <c r="H31" i="11"/>
  <c r="J78" i="11"/>
  <c r="I19" i="11"/>
  <c r="H99" i="11"/>
  <c r="I83" i="11"/>
  <c r="H38" i="11"/>
  <c r="I23" i="11"/>
  <c r="F718" i="41" l="1"/>
  <c r="F348" i="29"/>
  <c r="F83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84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83" i="11"/>
  <c r="K33" i="11"/>
  <c r="M33" i="11" s="1"/>
  <c r="K35" i="11"/>
  <c r="M35" i="11" s="1"/>
  <c r="K37" i="11"/>
  <c r="M37" i="11" s="1"/>
  <c r="K29" i="11"/>
  <c r="M29" i="11" s="1"/>
  <c r="K30" i="11"/>
  <c r="M30" i="11" s="1"/>
  <c r="K38" i="11"/>
  <c r="M38" i="11" s="1"/>
  <c r="K73" i="11"/>
  <c r="M73" i="11" s="1"/>
  <c r="K63" i="11"/>
  <c r="M63" i="11" s="1"/>
  <c r="K82" i="11"/>
  <c r="M82" i="11" s="1"/>
  <c r="K22" i="11"/>
  <c r="M22" i="11" s="1"/>
  <c r="K36" i="11"/>
  <c r="M36" i="11" s="1"/>
  <c r="K34" i="11"/>
  <c r="M34" i="11" s="1"/>
  <c r="K20" i="11"/>
  <c r="K26" i="11"/>
  <c r="M26" i="11" s="1"/>
  <c r="K19" i="11"/>
  <c r="M19" i="11" s="1"/>
  <c r="K25" i="11"/>
  <c r="M25" i="11" s="1"/>
  <c r="K28" i="11"/>
  <c r="M28" i="11" s="1"/>
  <c r="M98" i="11"/>
  <c r="K101" i="11"/>
  <c r="K79" i="11"/>
  <c r="M79" i="11" s="1"/>
  <c r="K39" i="11"/>
  <c r="M39" i="11" s="1"/>
  <c r="K80" i="11"/>
  <c r="M80" i="11" s="1"/>
  <c r="K23" i="11"/>
  <c r="M23" i="11" s="1"/>
  <c r="F350" i="29"/>
  <c r="K76" i="11"/>
  <c r="M76" i="11" s="1"/>
  <c r="K78" i="11"/>
  <c r="M78" i="11" s="1"/>
  <c r="K59" i="11"/>
  <c r="M59" i="11" s="1"/>
  <c r="K32" i="11"/>
  <c r="M32" i="11" s="1"/>
  <c r="K69" i="11"/>
  <c r="M69" i="11" s="1"/>
  <c r="K62" i="11"/>
  <c r="M62" i="11" s="1"/>
  <c r="K21" i="11"/>
  <c r="M21" i="11" s="1"/>
  <c r="K31" i="11"/>
  <c r="M31" i="11" s="1"/>
  <c r="K67" i="11"/>
  <c r="M67" i="11" s="1"/>
  <c r="K81" i="11"/>
  <c r="M81" i="11" s="1"/>
  <c r="K99" i="11"/>
  <c r="K64" i="11"/>
  <c r="M64" i="11" s="1"/>
  <c r="K24" i="11"/>
  <c r="M24" i="11" s="1"/>
  <c r="H100" i="11"/>
  <c r="H103" i="11" s="1"/>
  <c r="F312" i="29"/>
  <c r="F339" i="29"/>
  <c r="F226" i="29"/>
  <c r="F345" i="29"/>
  <c r="F239" i="29"/>
  <c r="I100" i="11"/>
  <c r="I103" i="11" s="1"/>
  <c r="J100" i="11"/>
  <c r="J103" i="11" s="1"/>
  <c r="K68" i="11"/>
  <c r="M68" i="11" s="1"/>
  <c r="K77" i="11"/>
  <c r="M77" i="11" s="1"/>
  <c r="K70" i="11"/>
  <c r="M70" i="11" s="1"/>
  <c r="K58" i="11"/>
  <c r="K71" i="11"/>
  <c r="M71" i="11" s="1"/>
  <c r="K74" i="11"/>
  <c r="M74" i="11" s="1"/>
  <c r="K75" i="11"/>
  <c r="M75" i="11" s="1"/>
  <c r="K72" i="11"/>
  <c r="M72" i="11" s="1"/>
  <c r="K60" i="11"/>
  <c r="M60" i="11" s="1"/>
  <c r="K65" i="11"/>
  <c r="M65" i="11" s="1"/>
  <c r="K61" i="11"/>
  <c r="M61" i="11" s="1"/>
  <c r="K66" i="11"/>
  <c r="M66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04" i="11"/>
  <c r="J105" i="11" s="1"/>
  <c r="H104" i="11"/>
  <c r="H105" i="11" s="1"/>
  <c r="I104" i="11"/>
  <c r="I105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106" i="29"/>
  <c r="D92" i="29"/>
  <c r="D21" i="39"/>
  <c r="B21" i="39"/>
  <c r="E21" i="39" s="1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00" i="11"/>
  <c r="K103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67" i="29" l="1"/>
  <c r="H67" i="29" s="1"/>
  <c r="D68" i="29"/>
  <c r="B124" i="29"/>
  <c r="E124" i="29" s="1"/>
  <c r="D148" i="29"/>
  <c r="H148" i="29" s="1"/>
  <c r="D90" i="29"/>
  <c r="H90" i="29" s="1"/>
  <c r="G18" i="39"/>
  <c r="G77" i="29"/>
  <c r="I30" i="39"/>
  <c r="G133" i="29"/>
  <c r="G29" i="39"/>
  <c r="G24" i="29"/>
  <c r="D124" i="29"/>
  <c r="I124" i="29" s="1"/>
  <c r="D33" i="39"/>
  <c r="I33" i="39" s="1"/>
  <c r="B112" i="29"/>
  <c r="E112" i="29" s="1"/>
  <c r="B149" i="29"/>
  <c r="E149" i="29" s="1"/>
  <c r="D85" i="29"/>
  <c r="H85" i="29" s="1"/>
  <c r="B33" i="39"/>
  <c r="E33" i="39" s="1"/>
  <c r="D115" i="29"/>
  <c r="J115" i="29" s="1"/>
  <c r="G112" i="29"/>
  <c r="D58" i="29"/>
  <c r="H58" i="29" s="1"/>
  <c r="B33" i="29"/>
  <c r="E33" i="29" s="1"/>
  <c r="G143" i="29"/>
  <c r="B18" i="39"/>
  <c r="E18" i="39" s="1"/>
  <c r="D29" i="39"/>
  <c r="H29" i="39" s="1"/>
  <c r="B28" i="39"/>
  <c r="E28" i="39" s="1"/>
  <c r="D20" i="39"/>
  <c r="J20" i="39" s="1"/>
  <c r="B38" i="29"/>
  <c r="E38" i="29" s="1"/>
  <c r="G85" i="29"/>
  <c r="G115" i="29"/>
  <c r="G58" i="29"/>
  <c r="D122" i="29"/>
  <c r="D143" i="29"/>
  <c r="J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I132" i="29" s="1"/>
  <c r="G32" i="39"/>
  <c r="D18" i="29"/>
  <c r="G66" i="29"/>
  <c r="G105" i="29"/>
  <c r="D24" i="39"/>
  <c r="J24" i="39" s="1"/>
  <c r="G17" i="39"/>
  <c r="B97" i="29"/>
  <c r="E97" i="29" s="1"/>
  <c r="D19" i="29"/>
  <c r="I19" i="29" s="1"/>
  <c r="G104" i="29"/>
  <c r="D20" i="29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04" i="11"/>
  <c r="K105" i="11" s="1"/>
  <c r="H83" i="29"/>
  <c r="J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92" i="29"/>
  <c r="I92" i="29"/>
  <c r="J92" i="29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H20" i="29"/>
  <c r="I20" i="29"/>
  <c r="J20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17" i="39"/>
  <c r="I27" i="39"/>
  <c r="H27" i="39"/>
  <c r="J27" i="3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I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I160" i="29"/>
  <c r="H160" i="29"/>
  <c r="J160" i="29"/>
  <c r="J132" i="29"/>
  <c r="I33" i="29"/>
  <c r="H33" i="29"/>
  <c r="J33" i="29"/>
  <c r="I122" i="29"/>
  <c r="H122" i="29"/>
  <c r="J122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I67" i="29" l="1"/>
  <c r="I58" i="29"/>
  <c r="I143" i="29"/>
  <c r="I148" i="29"/>
  <c r="J67" i="29"/>
  <c r="K67" i="29" s="1"/>
  <c r="H132" i="29"/>
  <c r="J33" i="39"/>
  <c r="I90" i="29"/>
  <c r="J58" i="29"/>
  <c r="J29" i="39"/>
  <c r="I85" i="29"/>
  <c r="J124" i="29"/>
  <c r="J148" i="29"/>
  <c r="J113" i="29"/>
  <c r="H143" i="29"/>
  <c r="J85" i="29"/>
  <c r="H124" i="29"/>
  <c r="I22" i="39"/>
  <c r="H113" i="29"/>
  <c r="K30" i="39"/>
  <c r="H33" i="39"/>
  <c r="J90" i="29"/>
  <c r="I81" i="29"/>
  <c r="I86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K35" i="29" s="1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K17" i="39" s="1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32" i="29"/>
  <c r="K23" i="39"/>
  <c r="K97" i="29"/>
  <c r="K100" i="29"/>
  <c r="K73" i="29"/>
  <c r="K21" i="29"/>
  <c r="K72" i="29"/>
  <c r="K20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47" i="29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157" i="29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06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60" i="29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58" i="29" l="1"/>
  <c r="K33" i="39"/>
  <c r="K148" i="29"/>
  <c r="K124" i="29"/>
  <c r="K81" i="29"/>
  <c r="K162" i="29"/>
  <c r="K34" i="39"/>
  <c r="K115" i="29"/>
  <c r="K86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<sst xmlns="http://schemas.openxmlformats.org/spreadsheetml/2006/main" count="4784" uniqueCount="1645">
  <si>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</si>
  <si>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</si>
  <si>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</si>
  <si>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</si>
  <si>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</si>
  <si>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</si>
  <si>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</si>
  <si>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</si>
  <si>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</si>
  <si>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</si>
  <si>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</si>
  <si>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</si>
  <si>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</si>
  <si>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</si>
  <si>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</si>
  <si>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</si>
  <si>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</si>
  <si>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</si>
  <si>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</si>
  <si>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</si>
  <si>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</si>
  <si>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</si>
  <si>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</si>
  <si>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</si>
  <si>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</si>
  <si>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</si>
  <si>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</si>
  <si>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</si>
  <si>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</si>
  <si>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</si>
  <si>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</si>
  <si>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</si>
  <si>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</si>
  <si>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</si>
  <si>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</si>
  <si>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</si>
  <si>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</si>
  <si>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</si>
  <si>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</si>
  <si>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</si>
  <si>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</si>
  <si>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</si>
  <si>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</si>
  <si>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</si>
  <si>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</si>
  <si>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</si>
  <si>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</si>
  <si>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</si>
  <si>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</si>
  <si>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</si>
  <si>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</si>
  <si>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</si>
  <si>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</si>
  <si>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</si>
  <si>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</si>
  <si>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</si>
  <si>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</si>
  <si>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</si>
  <si>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</si>
  <si>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</si>
  <si>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</si>
  <si>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</si>
  <si>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</si>
  <si>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</si>
  <si>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</si>
  <si>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</si>
  <si>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</si>
  <si>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</si>
  <si>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</si>
  <si>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</si>
  <si>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</si>
  <si>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</si>
  <si>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</si>
  <si>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</si>
  <si>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</si>
  <si>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</si>
  <si>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</si>
  <si>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</si>
  <si>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</si>
  <si>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</si>
  <si>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</si>
  <si>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</si>
  <si>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</si>
  <si>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</si>
  <si>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</si>
  <si>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</si>
  <si>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</si>
  <si>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</si>
  <si>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</si>
  <si>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</si>
  <si>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</si>
  <si>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</si>
  <si>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</si>
  <si>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</si>
  <si>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</si>
  <si>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</si>
  <si>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</si>
  <si>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</si>
  <si>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</si>
  <si>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</si>
  <si>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</si>
  <si>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</si>
  <si>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</si>
  <si>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</si>
  <si>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</si>
  <si>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</si>
  <si>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</si>
  <si>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</si>
  <si>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</si>
  <si>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</si>
  <si>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</si>
  <si>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</si>
  <si>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</si>
  <si>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</si>
  <si>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</si>
  <si>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</si>
  <si>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</si>
  <si>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</si>
  <si>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</si>
  <si>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</si>
  <si>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</si>
  <si>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</si>
  <si>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</si>
  <si>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</si>
  <si>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</si>
  <si>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</si>
  <si>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</si>
  <si>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</si>
  <si>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</si>
  <si>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</si>
  <si>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</si>
  <si>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</si>
  <si>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</si>
  <si>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</si>
  <si>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</si>
  <si>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</si>
  <si>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</si>
  <si>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</si>
  <si>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</si>
  <si>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</si>
  <si>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</si>
  <si>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</si>
  <si>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</si>
  <si>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</si>
  <si>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</si>
  <si>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</si>
  <si>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</si>
  <si>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</si>
  <si>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</si>
  <si>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</si>
  <si>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</si>
  <si>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</si>
  <si>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</si>
  <si>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</si>
  <si>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</si>
  <si>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</si>
  <si>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</si>
  <si>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</si>
  <si>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</si>
  <si>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</si>
  <si>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</si>
  <si>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</si>
  <si>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</si>
  <si>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</si>
  <si>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</si>
  <si>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</si>
  <si>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</si>
  <si>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</si>
  <si>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</si>
  <si>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</si>
  <si>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</si>
  <si>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</si>
  <si>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</si>
  <si>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</si>
  <si>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</si>
  <si>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</si>
  <si>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</si>
  <si>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</si>
  <si>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</si>
  <si>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</si>
  <si>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</si>
  <si>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</si>
  <si>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</si>
  <si>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</si>
  <si>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</si>
  <si>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</si>
  <si>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</si>
  <si>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</si>
  <si>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</si>
  <si>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</si>
  <si>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</si>
  <si>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</si>
  <si>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</si>
  <si>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</si>
  <si>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</si>
  <si>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</si>
  <si>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</si>
  <si>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</si>
  <si>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</si>
  <si>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</si>
  <si>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</si>
  <si>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</si>
  <si>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</si>
  <si>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</si>
  <si>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</si>
  <si>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</si>
  <si>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</si>
  <si>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</si>
  <si>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</si>
  <si>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</si>
  <si>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</si>
  <si>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</si>
  <si>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</si>
  <si>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</si>
  <si>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</si>
  <si>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</si>
  <si>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</si>
  <si>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</si>
  <si>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</si>
  <si>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</si>
  <si>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</si>
  <si>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</si>
  <si>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</si>
  <si>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</si>
  <si>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</si>
  <si>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</si>
  <si>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</si>
  <si>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</si>
  <si>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</si>
  <si>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</si>
  <si>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</si>
  <si>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</si>
  <si>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</si>
  <si>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</si>
  <si>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</si>
  <si>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</si>
  <si>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</si>
  <si>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</si>
  <si>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</si>
  <si>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</si>
  <si>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</si>
  <si>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</si>
  <si>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</si>
  <si>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</si>
  <si>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</si>
  <si>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</si>
  <si>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</si>
  <si>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</si>
  <si>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</si>
  <si>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</si>
  <si>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</si>
  <si>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</si>
  <si>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</si>
  <si>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</si>
  <si>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</si>
  <si>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</si>
  <si>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</si>
  <si>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</si>
  <si>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</si>
  <si>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</si>
  <si>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</si>
  <si>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</si>
  <si>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</si>
  <si>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</si>
  <si>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</si>
  <si>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</si>
  <si>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</si>
  <si>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</si>
  <si>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</si>
  <si>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</si>
  <si>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</si>
  <si>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</si>
  <si>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</si>
  <si>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</si>
  <si>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</si>
  <si>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</si>
  <si>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</si>
  <si>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</si>
  <si>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</si>
  <si>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</si>
  <si>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</si>
  <si>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</si>
  <si>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</si>
  <si>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</si>
  <si>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</si>
  <si>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</si>
  <si>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</si>
  <si>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</si>
  <si>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</si>
  <si>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</si>
  <si>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</si>
  <si>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</si>
  <si>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</si>
  <si>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</si>
  <si>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</si>
  <si>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</si>
  <si>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</si>
  <si>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</si>
  <si>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</si>
  <si>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</si>
  <si>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</si>
  <si>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</si>
  <si>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</si>
  <si>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</si>
  <si>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</si>
  <si>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</si>
  <si>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</si>
  <si>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</si>
  <si>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</si>
  <si>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</si>
  <si>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</si>
  <si>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</si>
  <si>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</si>
  <si>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</si>
  <si>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</si>
  <si>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</si>
  <si>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</si>
  <si>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</si>
  <si>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</si>
  <si>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</si>
  <si>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</si>
  <si>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</si>
  <si>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</si>
  <si>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</si>
  <si>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</si>
  <si>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</si>
  <si>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</si>
  <si>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</si>
  <si>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</si>
  <si>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</si>
  <si>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</si>
  <si>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</si>
  <si>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</si>
  <si>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</si>
  <si>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</si>
  <si>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</si>
  <si>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</si>
  <si>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</si>
  <si>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</si>
  <si>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</si>
  <si>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</si>
  <si>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</si>
  <si>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</si>
  <si>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</si>
  <si>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</si>
  <si>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</si>
  <si>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</si>
  <si>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</si>
  <si>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</si>
  <si>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</si>
  <si>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</si>
  <si>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</si>
  <si>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</si>
  <si>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</si>
  <si>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</si>
  <si>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</si>
  <si>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</si>
  <si>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</si>
  <si>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</si>
  <si>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</si>
  <si>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</si>
  <si>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</si>
  <si>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</si>
  <si>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</si>
  <si>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</si>
  <si>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</si>
  <si>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</si>
  <si>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</si>
  <si>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</si>
  <si>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</si>
  <si>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</si>
  <si>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</si>
  <si>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</si>
  <si>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</si>
  <si>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</si>
  <si>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</si>
  <si>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</si>
  <si>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</si>
  <si>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</si>
  <si>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</si>
  <si>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</si>
  <si>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</si>
  <si>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</si>
  <si>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</si>
  <si>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</si>
  <si>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</si>
  <si>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</si>
  <si>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</si>
  <si>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</si>
  <si>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</si>
  <si>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</si>
  <si>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</si>
  <si>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</si>
  <si>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</si>
  <si>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</si>
  <si>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</si>
  <si>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</si>
  <si>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</si>
  <si>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</si>
  <si>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</si>
  <si>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</si>
  <si>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</si>
  <si>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</si>
  <si>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</si>
  <si>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</si>
  <si>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</si>
  <si>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</si>
  <si>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</si>
  <si>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</si>
  <si>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</si>
  <si>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</si>
  <si>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</si>
  <si>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</si>
  <si>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</si>
  <si>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</si>
  <si>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</si>
  <si>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</si>
  <si>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</si>
  <si>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</si>
  <si>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</si>
  <si>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</si>
  <si>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</si>
  <si>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</si>
  <si>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</si>
  <si>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</si>
  <si>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</si>
  <si>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</si>
  <si>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</si>
  <si>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</si>
  <si>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</si>
  <si>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</si>
  <si>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</si>
  <si>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</si>
  <si>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</si>
  <si>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</si>
  <si>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</si>
  <si>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</si>
  <si>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</si>
  <si>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</si>
  <si>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</si>
  <si>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</si>
  <si>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</si>
  <si>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</si>
  <si>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</si>
  <si>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</si>
  <si>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</si>
  <si>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</si>
  <si>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</si>
  <si>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</si>
  <si>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</si>
  <si>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</si>
  <si>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</si>
  <si>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</si>
  <si>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</si>
  <si>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</si>
  <si>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</si>
  <si>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</si>
  <si>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</si>
  <si>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</si>
  <si>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</si>
  <si>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</si>
  <si>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</si>
  <si>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</si>
  <si>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</si>
  <si>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</si>
  <si>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</si>
  <si>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</si>
  <si>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</si>
  <si>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</si>
  <si>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</si>
  <si>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</si>
  <si>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</si>
  <si>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</si>
  <si>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</si>
  <si>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</si>
  <si>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</si>
  <si>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</si>
  <si>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</si>
  <si>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</si>
  <si>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</si>
  <si>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</si>
  <si>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</si>
  <si>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</si>
  <si>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</si>
  <si>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</si>
  <si>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</si>
  <si>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</si>
  <si>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</si>
  <si>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</si>
  <si>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</si>
  <si>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</si>
  <si>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</si>
  <si>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</si>
  <si>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</si>
  <si>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</si>
  <si>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</si>
  <si>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</si>
  <si>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</si>
  <si>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</si>
  <si>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</si>
  <si>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</si>
  <si>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</si>
  <si>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</si>
  <si>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</si>
  <si>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</si>
  <si>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</si>
  <si>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</si>
  <si>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</si>
  <si>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</si>
  <si>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</si>
  <si>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</si>
  <si>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</si>
  <si>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</si>
  <si>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</si>
  <si>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</si>
  <si>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</si>
  <si>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</si>
  <si>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</si>
  <si>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</si>
  <si>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</si>
  <si>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</si>
  <si>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</si>
  <si>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</si>
  <si>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</si>
  <si>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</si>
  <si>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</si>
  <si>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</si>
  <si>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</si>
  <si>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</si>
  <si>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</si>
  <si>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</si>
  <si>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</si>
  <si>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</si>
  <si>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</si>
  <si>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</si>
  <si>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</si>
  <si>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</si>
  <si>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</si>
  <si>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</si>
  <si>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</si>
  <si>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</si>
  <si>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</si>
  <si>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</si>
  <si>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</si>
  <si>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</si>
  <si>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</si>
  <si>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</si>
  <si>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</si>
  <si>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</si>
  <si>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</si>
  <si>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</si>
  <si>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</si>
  <si>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</si>
  <si>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</si>
  <si>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</si>
  <si>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</si>
  <si>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</si>
  <si>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</si>
  <si>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</si>
  <si>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</si>
  <si>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</si>
  <si>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</si>
  <si>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</si>
  <si>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</si>
  <si>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</si>
  <si>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</si>
  <si>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</si>
  <si>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</si>
  <si>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</si>
  <si>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</si>
  <si>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</si>
  <si>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</si>
  <si>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</si>
  <si>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</si>
  <si>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</si>
  <si>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</si>
  <si>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</si>
  <si>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</si>
  <si>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</si>
  <si>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</si>
  <si>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</si>
  <si>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</si>
  <si>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</si>
  <si>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</si>
  <si>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</si>
  <si>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</si>
  <si>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</si>
  <si>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</si>
  <si>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</si>
  <si>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</si>
  <si>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</si>
  <si>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</si>
  <si>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</si>
  <si>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</si>
  <si>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</si>
  <si>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</si>
  <si>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</si>
  <si>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</si>
  <si>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</si>
  <si>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</si>
  <si>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</si>
  <si>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</si>
  <si>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</si>
  <si>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</si>
  <si>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</si>
  <si>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</si>
  <si>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</si>
  <si>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</si>
  <si>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</si>
  <si>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</si>
  <si>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</si>
  <si>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</si>
  <si>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</si>
  <si>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</si>
  <si>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</si>
  <si>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</si>
  <si>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</si>
  <si>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</si>
  <si>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</si>
  <si>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</si>
  <si>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</si>
  <si>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</si>
  <si>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</si>
  <si>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</si>
  <si>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</si>
  <si>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</si>
  <si>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</si>
  <si>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</si>
  <si>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</si>
  <si>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</si>
  <si>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</si>
  <si>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</si>
  <si>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</si>
  <si>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</si>
  <si>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</si>
  <si>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</si>
  <si>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</si>
  <si>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</si>
  <si>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</si>
  <si>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</si>
  <si>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</si>
  <si>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</si>
  <si>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</si>
  <si>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</si>
  <si>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</si>
  <si>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</si>
  <si>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</si>
  <si>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</si>
  <si>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</si>
  <si>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</si>
  <si>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</si>
  <si>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</si>
  <si>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</si>
  <si>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</si>
  <si>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</si>
  <si>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</si>
  <si>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</si>
  <si>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</si>
  <si>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</si>
  <si>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</si>
  <si>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</si>
  <si>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</si>
  <si>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</si>
  <si>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</si>
  <si>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</si>
  <si>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</si>
  <si>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</si>
  <si>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</si>
  <si>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</si>
  <si>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</si>
  <si>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</si>
  <si>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</si>
  <si>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</si>
  <si>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</si>
  <si>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</si>
  <si>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</si>
  <si>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</si>
  <si>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</si>
  <si>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</si>
  <si>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</si>
  <si>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</si>
  <si>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</si>
  <si>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</si>
  <si>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</si>
  <si>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</si>
  <si>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</si>
  <si>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</si>
  <si>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</si>
  <si>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</si>
  <si>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</si>
  <si>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</si>
  <si>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</si>
  <si>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</si>
  <si>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</si>
  <si>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</si>
  <si>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</si>
  <si>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</si>
  <si>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</si>
  <si>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</si>
  <si>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</si>
  <si>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</si>
  <si>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</si>
  <si>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</si>
  <si>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</si>
  <si>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</si>
  <si>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</si>
  <si>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</si>
  <si>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</si>
  <si>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</si>
  <si>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</si>
  <si>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</si>
  <si>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</si>
  <si>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</si>
  <si>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</si>
  <si>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</si>
  <si>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</si>
  <si>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</si>
  <si>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</si>
  <si>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</si>
  <si>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</si>
  <si>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</si>
  <si>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</si>
  <si>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</si>
  <si>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</si>
  <si>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</si>
  <si>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</si>
  <si>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</si>
  <si>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</si>
  <si>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</si>
  <si>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</si>
  <si>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</si>
  <si>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</si>
  <si>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</si>
  <si>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</si>
  <si>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</si>
  <si>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</si>
  <si>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</si>
  <si>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</si>
  <si>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</si>
  <si>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</si>
  <si>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</si>
  <si>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</si>
  <si>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</si>
  <si>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</si>
  <si>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</si>
  <si>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</si>
  <si>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</si>
  <si>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</si>
  <si>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</si>
  <si>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</si>
  <si>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</si>
  <si>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</si>
  <si>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</si>
  <si>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</si>
  <si>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</si>
  <si>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</si>
  <si>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</si>
  <si>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</si>
  <si>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</si>
  <si>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</si>
  <si>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</si>
  <si>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</si>
  <si>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</si>
  <si>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</si>
  <si>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</si>
  <si>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</si>
  <si>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</si>
  <si>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</si>
  <si>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</si>
  <si>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</si>
  <si>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</si>
  <si>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</si>
  <si>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</si>
  <si>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</si>
  <si>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</si>
  <si>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</si>
  <si>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</si>
  <si>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</si>
  <si>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</si>
  <si>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</si>
  <si>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</si>
  <si>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</si>
  <si>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</si>
  <si>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</si>
  <si>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</si>
  <si>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</si>
  <si>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</si>
  <si>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</si>
  <si>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</si>
  <si>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</si>
  <si>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</si>
  <si>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</si>
  <si>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</si>
  <si>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</si>
  <si>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</si>
  <si>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</si>
  <si>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</si>
  <si>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</si>
  <si>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</si>
  <si>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</si>
  <si>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</si>
  <si>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</si>
  <si>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</si>
  <si>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</si>
  <si>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</si>
  <si>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</si>
  <si>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</si>
  <si>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</si>
  <si>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</si>
  <si>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</si>
  <si>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</si>
  <si>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</si>
  <si>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</si>
  <si>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</si>
  <si>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</si>
  <si>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</si>
  <si>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</si>
  <si>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</si>
  <si>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</si>
  <si>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</si>
  <si>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</si>
  <si>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</si>
  <si>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</si>
  <si>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</si>
  <si>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</si>
  <si>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</si>
  <si>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</si>
  <si>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</si>
  <si>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</si>
  <si>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</si>
  <si>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</si>
  <si>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</si>
  <si>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</si>
  <si>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</si>
  <si>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</si>
  <si>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</si>
  <si>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</si>
  <si>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</si>
  <si>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</si>
  <si>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</si>
  <si>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</si>
  <si>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</si>
  <si>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</si>
  <si>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</si>
  <si>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</si>
  <si>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</si>
  <si>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</si>
  <si>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</si>
  <si>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</si>
  <si>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</si>
  <si>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</si>
  <si>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</si>
  <si>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</si>
  <si>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</si>
  <si>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</si>
  <si>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</si>
  <si>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</si>
  <si>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</si>
  <si>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</si>
  <si>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</si>
  <si>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</si>
  <si>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</si>
  <si>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</si>
  <si>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</si>
  <si>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</si>
  <si>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</si>
  <si>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</si>
  <si>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</si>
  <si>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</si>
  <si>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</si>
  <si>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</si>
  <si>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</si>
  <si>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</si>
  <si>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</si>
  <si>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</si>
  <si>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</si>
  <si>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</si>
  <si>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</si>
  <si>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</si>
  <si>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</si>
  <si>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</si>
  <si>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</si>
  <si>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</si>
  <si>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</si>
  <si>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</si>
  <si>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</si>
  <si>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</si>
  <si>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</si>
  <si>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</si>
  <si>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</si>
  <si>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</si>
  <si>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</si>
  <si>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</si>
  <si>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</si>
  <si>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</si>
  <si>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</si>
  <si>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</si>
  <si>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</si>
  <si>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</si>
  <si>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</si>
  <si>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</si>
  <si>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</si>
  <si>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</si>
  <si>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</si>
  <si>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</si>
  <si>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</si>
  <si>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</si>
  <si>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</si>
  <si>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</si>
  <si>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</si>
  <si>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</si>
  <si>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</si>
  <si>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</si>
  <si>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</si>
  <si>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</si>
  <si>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</si>
  <si>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</si>
  <si>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</si>
  <si>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</si>
  <si>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</si>
  <si>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</si>
  <si>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</si>
  <si>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</si>
  <si>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</si>
  <si>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</si>
  <si>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</si>
  <si>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</si>
  <si>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</si>
  <si>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</si>
  <si>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</si>
  <si>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</si>
  <si>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</si>
  <si>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</si>
  <si>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</si>
  <si>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</si>
  <si>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</si>
  <si>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</si>
  <si>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</si>
  <si>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</si>
  <si>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</si>
  <si>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</si>
  <si>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</si>
  <si>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</si>
  <si>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</si>
  <si>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</si>
  <si>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</si>
  <si>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</si>
  <si>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</si>
  <si>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</si>
  <si>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</si>
  <si>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</si>
  <si>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</si>
  <si>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</si>
  <si>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</si>
  <si>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</si>
  <si>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</si>
  <si>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</si>
  <si>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</si>
  <si>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</si>
  <si>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</si>
  <si>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</si>
  <si>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</si>
  <si>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</si>
  <si>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</si>
  <si>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</si>
  <si>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</si>
  <si>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</si>
  <si>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</si>
  <si>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</si>
  <si>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</si>
  <si>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</si>
  <si>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</si>
  <si>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</si>
  <si>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</si>
  <si>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</si>
  <si>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</si>
  <si>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</si>
  <si>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</si>
  <si>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</si>
  <si>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</si>
  <si>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</si>
  <si>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</si>
  <si>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</si>
  <si>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</si>
  <si>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</si>
  <si>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</si>
  <si>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</si>
  <si>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</si>
  <si>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</si>
  <si>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</si>
  <si>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</si>
  <si>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</si>
  <si>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</si>
  <si>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</si>
  <si>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</si>
  <si>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</si>
  <si>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</si>
  <si>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</si>
  <si>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</si>
  <si>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</si>
  <si>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</si>
  <si>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</si>
  <si>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</si>
  <si>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</si>
  <si>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</si>
  <si>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</si>
  <si>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</si>
  <si>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</si>
  <si>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</si>
  <si>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</si>
  <si>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</si>
  <si>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</si>
  <si>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</si>
  <si>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</si>
  <si>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</si>
  <si>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</si>
  <si>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</si>
  <si>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</si>
  <si>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</si>
  <si>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</si>
  <si>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</si>
  <si>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</si>
  <si>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</si>
  <si>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</si>
  <si>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</si>
  <si>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</si>
  <si>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</si>
  <si>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</si>
  <si>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</si>
  <si>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</si>
  <si>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</si>
  <si>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</si>
  <si>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</si>
  <si>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</si>
  <si>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</si>
  <si>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</si>
  <si>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</si>
  <si>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</si>
  <si>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</si>
  <si>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</si>
  <si>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</si>
  <si>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</si>
  <si>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</si>
  <si>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</si>
  <si>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</si>
  <si>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</si>
  <si>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</si>
  <si>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</si>
  <si>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</si>
  <si>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</si>
  <si>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</si>
  <si>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</si>
  <si>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</si>
  <si>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</si>
  <si>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</si>
  <si>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</si>
  <si>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</si>
  <si>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</si>
  <si>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</si>
  <si>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</si>
  <si>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</si>
  <si>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</si>
  <si>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</si>
  <si>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</si>
  <si>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</si>
  <si>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</si>
  <si>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</si>
  <si>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</si>
  <si>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</si>
  <si>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</si>
  <si>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</si>
  <si>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</si>
  <si>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</si>
  <si>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</si>
  <si>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</si>
  <si>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</si>
  <si>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</si>
  <si>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</si>
  <si>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</si>
  <si>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</si>
  <si>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</si>
  <si>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</si>
  <si>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</si>
  <si>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</si>
  <si>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</si>
  <si>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</si>
  <si>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</si>
  <si>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</si>
  <si>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</si>
  <si>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</si>
  <si>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</si>
  <si>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</si>
  <si>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</si>
  <si>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</si>
  <si>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</si>
  <si>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</si>
  <si>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</si>
  <si>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</si>
  <si>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</si>
  <si>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</si>
  <si>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</si>
  <si>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</si>
  <si>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</si>
  <si>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</si>
  <si>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</si>
  <si>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</si>
  <si>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</si>
  <si>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</si>
  <si>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</si>
  <si>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</si>
  <si>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</si>
  <si>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</si>
  <si>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</si>
  <si>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</si>
  <si>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</si>
  <si>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</si>
  <si>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</si>
  <si>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</si>
  <si>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</si>
  <si>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</si>
  <si>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</si>
  <si>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</si>
  <si>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</si>
  <si>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</si>
  <si>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</si>
  <si>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</si>
  <si>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</si>
  <si>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</si>
  <si>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</si>
  <si>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</si>
  <si>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</si>
  <si>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</si>
  <si>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</si>
  <si>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</si>
  <si>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</si>
  <si>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</si>
  <si>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</si>
  <si>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</si>
  <si>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</si>
  <si>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</si>
  <si>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</si>
  <si>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</si>
  <si>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</si>
  <si>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</si>
  <si>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</si>
  <si>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</si>
  <si>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</si>
  <si>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</si>
  <si>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</si>
  <si>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</si>
  <si>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</si>
  <si>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</si>
  <si>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</si>
  <si>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</si>
  <si>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</si>
  <si>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</si>
  <si>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</si>
  <si>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</si>
  <si>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</si>
  <si>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</si>
  <si>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</si>
  <si>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</si>
  <si>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</si>
  <si>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</si>
  <si>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</si>
  <si>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</si>
  <si>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</si>
  <si>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</si>
  <si>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</si>
  <si>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</si>
  <si>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</si>
  <si>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</si>
  <si>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</si>
  <si>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</si>
  <si>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</si>
  <si>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</si>
  <si>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</si>
  <si>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</si>
  <si>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</si>
  <si>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</si>
  <si>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</si>
  <si>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</si>
  <si>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</si>
  <si>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</si>
  <si>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</si>
  <si>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</si>
  <si>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</si>
  <si>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</si>
  <si>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</si>
  <si>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</si>
  <si>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</si>
  <si>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</si>
  <si>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</si>
  <si>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</si>
  <si>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</si>
  <si>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</si>
  <si>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</si>
  <si>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</si>
  <si>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</si>
  <si>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</si>
  <si>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</si>
  <si>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</si>
  <si>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</si>
  <si>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</si>
  <si>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</si>
  <si>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</si>
  <si>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</si>
  <si>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</si>
  <si>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</si>
  <si>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</si>
  <si>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</si>
  <si>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</si>
  <si>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</si>
  <si>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</si>
  <si>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</si>
  <si>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</si>
  <si>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</si>
  <si>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</si>
  <si>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</si>
  <si>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</si>
  <si>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</si>
  <si>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</si>
  <si>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</si>
  <si>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</si>
  <si>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</si>
  <si>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</si>
  <si>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</si>
  <si>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</si>
  <si>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</si>
  <si>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</si>
  <si>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</si>
  <si>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</si>
  <si>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</si>
  <si>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</si>
  <si>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</si>
  <si>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</si>
  <si>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</si>
  <si>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</si>
  <si>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</si>
  <si>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</si>
  <si>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</si>
  <si>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</si>
  <si>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</si>
  <si>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</si>
  <si>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</si>
  <si>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</si>
  <si>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</si>
  <si>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</si>
  <si>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</si>
  <si>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</si>
  <si>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</si>
  <si>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</si>
  <si>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</si>
  <si>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</si>
  <si>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</si>
  <si>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</si>
  <si>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</si>
  <si>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</si>
  <si>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</si>
  <si>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</si>
  <si>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</si>
  <si>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</si>
  <si>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</si>
  <si>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</si>
  <si>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</si>
  <si>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</si>
  <si>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</si>
  <si>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</si>
  <si>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</si>
  <si>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</si>
  <si>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</si>
  <si>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</si>
  <si>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</si>
  <si>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</si>
  <si>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</si>
  <si>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</si>
  <si>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</si>
  <si>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</si>
  <si>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</si>
  <si>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</si>
  <si>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</si>
  <si>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</si>
  <si>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</si>
  <si>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</si>
  <si>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</si>
  <si>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</si>
  <si>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</si>
  <si>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</si>
  <si>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</si>
  <si>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</si>
  <si>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</si>
  <si>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</si>
  <si>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</si>
  <si>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</si>
  <si>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</si>
  <si>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</si>
  <si>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</si>
  <si>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</si>
  <si>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</si>
  <si>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</si>
  <si>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</si>
  <si>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</si>
  <si>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</si>
  <si>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</si>
  <si>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</si>
  <si>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</si>
  <si>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</si>
  <si>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</si>
  <si>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</si>
  <si>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</si>
  <si>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</si>
  <si>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</si>
  <si>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</si>
  <si>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</si>
  <si>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</si>
  <si>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</si>
  <si>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</si>
  <si>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</si>
  <si>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</si>
  <si>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</si>
  <si>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</si>
  <si>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</si>
  <si>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</si>
  <si>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</si>
  <si>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</si>
  <si>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</si>
  <si>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</si>
  <si>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</si>
  <si>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</si>
  <si>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</si>
  <si>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</si>
  <si>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</si>
  <si>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</si>
  <si>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</si>
  <si>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</si>
  <si>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</si>
  <si>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</si>
  <si>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</si>
  <si>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</si>
  <si>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</si>
  <si>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</si>
  <si>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</si>
  <si>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</si>
  <si>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</si>
  <si>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</si>
  <si>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</si>
  <si>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</si>
  <si>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</si>
  <si>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</si>
  <si>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</si>
  <si>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</si>
  <si>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</si>
  <si>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</si>
  <si>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</si>
  <si>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</si>
  <si>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</si>
  <si>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</si>
  <si>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</si>
  <si>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</si>
  <si>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</si>
  <si>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</si>
  <si>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</si>
  <si>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</si>
  <si>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</si>
  <si>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</si>
  <si>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</si>
  <si>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</si>
  <si>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</si>
  <si>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</si>
  <si>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</si>
  <si>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</si>
  <si>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</si>
  <si>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</si>
  <si>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</si>
  <si>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</si>
  <si>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</si>
  <si>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</si>
  <si>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</si>
  <si>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</si>
  <si>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</si>
  <si>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</si>
  <si>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</si>
  <si>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</si>
  <si>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</si>
  <si>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</si>
  <si>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</si>
  <si>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</si>
  <si>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</si>
  <si>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</si>
  <si>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</si>
  <si>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</si>
  <si>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</si>
  <si>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</si>
  <si>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</si>
  <si>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</si>
  <si>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</si>
  <si>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</si>
  <si>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</si>
  <si>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</si>
  <si>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</si>
  <si>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</si>
  <si>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</si>
  <si>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</si>
  <si>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</si>
  <si>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</si>
  <si>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</si>
  <si>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</si>
  <si>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</si>
  <si>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</si>
  <si>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</si>
  <si>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</si>
  <si>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</si>
  <si>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</si>
  <si>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</si>
  <si>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</si>
  <si>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</si>
  <si>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</si>
  <si>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</si>
  <si>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</si>
  <si>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</si>
  <si>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</si>
  <si>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</si>
  <si>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</si>
  <si>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</si>
  <si>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</si>
  <si>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</si>
  <si>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</si>
  <si>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</si>
  <si>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</si>
  <si>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</si>
  <si>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</si>
  <si>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</si>
  <si>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</si>
  <si>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</si>
  <si>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</si>
  <si>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</si>
  <si>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</si>
  <si>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</si>
  <si>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</si>
  <si>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</si>
  <si>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</si>
  <si>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</si>
  <si>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</si>
  <si>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</si>
  <si>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</si>
  <si>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</si>
  <si>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</si>
  <si>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</si>
  <si>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</si>
  <si>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</si>
  <si>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</si>
  <si>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</si>
  <si>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</si>
  <si>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</si>
  <si>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</si>
  <si>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</si>
  <si>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</si>
  <si>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</si>
  <si>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</si>
  <si>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</si>
  <si>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</si>
  <si>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</si>
  <si>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</si>
  <si>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</si>
  <si>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</si>
  <si>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</si>
  <si>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</si>
  <si>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</si>
  <si>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</si>
  <si>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</si>
  <si>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</si>
  <si>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</si>
  <si>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</si>
  <si>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</si>
  <si>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</si>
  <si>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</si>
  <si>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</si>
  <si>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</si>
  <si>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</si>
  <si>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</si>
  <si>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</si>
  <si>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</si>
  <si>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</si>
  <si>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</si>
  <si>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</si>
  <si>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</si>
  <si>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</si>
  <si>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</si>
  <si>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</si>
  <si>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</si>
  <si>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</si>
  <si>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</si>
  <si>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</si>
  <si>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</si>
  <si>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</si>
  <si>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</si>
  <si>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</si>
  <si>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</si>
  <si>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</si>
  <si>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</si>
  <si>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</si>
  <si>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</si>
  <si>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</si>
  <si>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</si>
  <si>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</si>
  <si>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</si>
  <si>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</si>
  <si>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</si>
  <si>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</si>
  <si>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</si>
  <si>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</si>
  <si>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</si>
  <si>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</si>
  <si>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</si>
  <si>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</si>
  <si>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</si>
  <si>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</si>
  <si>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</si>
  <si>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</si>
  <si>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</si>
  <si>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</si>
  <si>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</si>
  <si>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</si>
  <si>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</si>
  <si>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</si>
  <si>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</si>
  <si>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</si>
  <si>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</si>
  <si>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</si>
  <si>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</si>
  <si>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</si>
  <si>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</si>
  <si>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</si>
  <si>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</si>
  <si>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</si>
  <si>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</si>
  <si>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</si>
  <si>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</si>
  <si>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</si>
  <si>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</si>
  <si>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</si>
  <si>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</si>
  <si>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</si>
  <si>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</si>
  <si>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</si>
  <si>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</si>
  <si>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</si>
  <si>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</si>
  <si>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</si>
  <si>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</si>
  <si>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</si>
  <si>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</si>
  <si>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</si>
  <si>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</si>
  <si>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</si>
  <si>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</si>
  <si>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</si>
  <si>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</si>
  <si>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</si>
  <si>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</si>
  <si>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</si>
  <si>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</si>
  <si>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</si>
  <si>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</si>
  <si>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</si>
  <si>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</si>
  <si>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</si>
  <si>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</si>
  <si>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</si>
  <si>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</si>
  <si>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</si>
  <si>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</si>
  <si>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</si>
  <si>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</si>
  <si>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</si>
  <si>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</si>
  <si>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</si>
  <si>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</si>
  <si>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</si>
  <si>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</si>
  <si>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</si>
  <si>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</si>
  <si>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</si>
  <si>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</si>
  <si>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</si>
  <si>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</si>
  <si>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</si>
  <si>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</si>
  <si>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</si>
  <si>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</si>
  <si>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</si>
  <si>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</si>
  <si>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</si>
  <si>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</si>
  <si>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</si>
  <si>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</si>
  <si>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</si>
  <si>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</si>
  <si>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</si>
  <si>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</si>
  <si>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</si>
  <si>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</si>
  <si>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</si>
  <si>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</si>
  <si>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</si>
  <si>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</si>
  <si>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</si>
  <si>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</si>
  <si>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</si>
  <si>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</si>
  <si>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</si>
  <si>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</si>
  <si>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</si>
  <si>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</si>
  <si>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</si>
  <si>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</si>
  <si>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</si>
  <si>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</si>
  <si>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</si>
  <si>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</si>
  <si>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</si>
  <si>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</si>
  <si>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</si>
  <si>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</si>
  <si>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</si>
  <si>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Daya 23.000 VA</t>
  </si>
  <si>
    <t>SR APP 23 KVA</t>
  </si>
  <si>
    <t>PB SMK ASTRA MITRA 23KVA</t>
  </si>
  <si>
    <t>CJ6-T</t>
  </si>
  <si>
    <t>CJ5-T</t>
  </si>
  <si>
    <t>C9-200</t>
  </si>
  <si>
    <t>CM2-12</t>
  </si>
  <si>
    <t>CE1-2</t>
  </si>
  <si>
    <t>F1-2</t>
  </si>
  <si>
    <t>CM2-12A</t>
  </si>
  <si>
    <t>LVTC 3X70+70</t>
  </si>
  <si>
    <t>MTR</t>
  </si>
  <si>
    <t>BTG</t>
  </si>
  <si>
    <t>C7-200</t>
  </si>
  <si>
    <t xml:space="preserve">-7.068542, 110.925198  </t>
  </si>
  <si>
    <t>SMK ASTRA MITRA</t>
  </si>
  <si>
    <t>Krajan Ds Getasrejo</t>
  </si>
  <si>
    <t>S2</t>
  </si>
  <si>
    <t>PWI09</t>
  </si>
  <si>
    <t>K2-603/12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</si>
</sst>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3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1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0.15333333333333335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41360" y="8822752"/>
          <a:ext cx="83822" cy="7955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262559</xdr:colOff>
      <xdr:row>24</xdr:row>
      <xdr:rowOff>85076</xdr:rowOff>
    </xdr:from>
    <xdr:to>
      <xdr:col>21</xdr:col>
      <xdr:colOff>105397</xdr:colOff>
      <xdr:row>25</xdr:row>
      <xdr:rowOff>114300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461342" y="3712859"/>
          <a:ext cx="7197794" cy="17831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81739" y="8555935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85599" y="8538294"/>
          <a:ext cx="158386" cy="13786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20904" y="8573079"/>
          <a:ext cx="157278" cy="137862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355864</xdr:colOff>
      <xdr:row>22</xdr:row>
      <xdr:rowOff>142627</xdr:rowOff>
    </xdr:from>
    <xdr:to>
      <xdr:col>12</xdr:col>
      <xdr:colOff>119416</xdr:colOff>
      <xdr:row>23</xdr:row>
      <xdr:rowOff>139060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4099603" y="3472236"/>
          <a:ext cx="144552" cy="145520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8629" y="8567364"/>
          <a:ext cx="125502" cy="138305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46784" y="8532578"/>
          <a:ext cx="125502" cy="14552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57324" y="8590225"/>
          <a:ext cx="144423" cy="151615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36909" y="8504003"/>
          <a:ext cx="231003" cy="9140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8754" y="8727883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504209" y="8836468"/>
          <a:ext cx="83822" cy="7955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25189" y="8839325"/>
          <a:ext cx="139135" cy="6344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8549" y="8824084"/>
          <a:ext cx="139135" cy="6344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30066</xdr:colOff>
      <xdr:row>22</xdr:row>
      <xdr:rowOff>139395</xdr:rowOff>
    </xdr:from>
    <xdr:to>
      <xdr:col>6</xdr:col>
      <xdr:colOff>174618</xdr:colOff>
      <xdr:row>23</xdr:row>
      <xdr:rowOff>135828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1868805" y="3469004"/>
          <a:ext cx="144552" cy="145520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76319</xdr:colOff>
      <xdr:row>17</xdr:row>
      <xdr:rowOff>53425</xdr:rowOff>
    </xdr:from>
    <xdr:to>
      <xdr:col>17</xdr:col>
      <xdr:colOff>240199</xdr:colOff>
      <xdr:row>20</xdr:row>
      <xdr:rowOff>24848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5788156" y="2574501"/>
          <a:ext cx="418684" cy="54488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325921</xdr:colOff>
      <xdr:row>22</xdr:row>
      <xdr:rowOff>134262</xdr:rowOff>
    </xdr:from>
    <xdr:to>
      <xdr:col>15</xdr:col>
      <xdr:colOff>89473</xdr:colOff>
      <xdr:row>23</xdr:row>
      <xdr:rowOff>130693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E521A9ED-AA4C-4265-BF39-0833B956C14F}"/>
            </a:ext>
          </a:extLst>
        </xdr:cNvPr>
        <xdr:cNvGrpSpPr/>
      </xdr:nvGrpSpPr>
      <xdr:grpSpPr>
        <a:xfrm>
          <a:off x="5212660" y="3463871"/>
          <a:ext cx="144552" cy="145518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B77135F7-4DA5-72FC-5B21-1F9F6357DBB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B6423018-9667-E2FB-B085-CF278AFAE3C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F066A521-3942-C43A-EC80-E50E12C243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210876</xdr:colOff>
      <xdr:row>1</xdr:row>
      <xdr:rowOff>120264</xdr:rowOff>
    </xdr:from>
    <xdr:to>
      <xdr:col>17</xdr:col>
      <xdr:colOff>376611</xdr:colOff>
      <xdr:row>2</xdr:row>
      <xdr:rowOff>103699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6240615" y="285916"/>
          <a:ext cx="165735" cy="14908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5</xdr:col>
      <xdr:colOff>313787</xdr:colOff>
      <xdr:row>31</xdr:row>
      <xdr:rowOff>116247</xdr:rowOff>
    </xdr:from>
    <xdr:to>
      <xdr:col>6</xdr:col>
      <xdr:colOff>163790</xdr:colOff>
      <xdr:row>32</xdr:row>
      <xdr:rowOff>52351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1771526" y="4779356"/>
          <a:ext cx="23100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5</xdr:col>
      <xdr:colOff>259329</xdr:colOff>
      <xdr:row>32</xdr:row>
      <xdr:rowOff>1575</xdr:rowOff>
    </xdr:from>
    <xdr:to>
      <xdr:col>7</xdr:col>
      <xdr:colOff>0</xdr:colOff>
      <xdr:row>33</xdr:row>
      <xdr:rowOff>57978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1717068" y="4813771"/>
          <a:ext cx="502671" cy="205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xx-YY" sz="800" baseline="0">
              <a:solidFill>
                <a:schemeClr val="tx1"/>
              </a:solidFill>
              <a:effectLst/>
            </a:rPr>
            <a:t>50</a:t>
          </a:r>
          <a:r>
            <a:rPr lang="en-ID" sz="800" baseline="0">
              <a:solidFill>
                <a:schemeClr val="tx1"/>
              </a:solidFill>
              <a:effectLst/>
            </a:rPr>
            <a:t>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9</xdr:col>
      <xdr:colOff>42656</xdr:colOff>
      <xdr:row>22</xdr:row>
      <xdr:rowOff>139768</xdr:rowOff>
    </xdr:from>
    <xdr:to>
      <xdr:col>9</xdr:col>
      <xdr:colOff>187208</xdr:colOff>
      <xdr:row>23</xdr:row>
      <xdr:rowOff>136201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024395" y="3469377"/>
          <a:ext cx="144552" cy="14552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198782</xdr:colOff>
      <xdr:row>22</xdr:row>
      <xdr:rowOff>140805</xdr:rowOff>
    </xdr:from>
    <xdr:to>
      <xdr:col>17</xdr:col>
      <xdr:colOff>343334</xdr:colOff>
      <xdr:row>23</xdr:row>
      <xdr:rowOff>137236</xdr:rowOff>
    </xdr:to>
    <xdr:grpSp>
      <xdr:nvGrpSpPr>
        <xdr:cNvPr id="217" name="Group 13">
          <a:extLst>
            <a:ext uri="{FF2B5EF4-FFF2-40B4-BE49-F238E27FC236}">
              <a16:creationId xmlns:a16="http://schemas.microsoft.com/office/drawing/2014/main" id="{3B6AB2C6-5642-42FB-9B10-6BCC4CDF312E}"/>
            </a:ext>
          </a:extLst>
        </xdr:cNvPr>
        <xdr:cNvGrpSpPr/>
      </xdr:nvGrpSpPr>
      <xdr:grpSpPr>
        <a:xfrm>
          <a:off x="6228521" y="3470414"/>
          <a:ext cx="144552" cy="145518"/>
          <a:chOff x="9937028" y="802652"/>
          <a:chExt cx="83991" cy="77961"/>
        </a:xfrm>
      </xdr:grpSpPr>
      <xdr:sp macro="" textlink="">
        <xdr:nvSpPr>
          <xdr:cNvPr id="218" name="Oval 1">
            <a:extLst>
              <a:ext uri="{FF2B5EF4-FFF2-40B4-BE49-F238E27FC236}">
                <a16:creationId xmlns:a16="http://schemas.microsoft.com/office/drawing/2014/main" id="{743A7810-FC45-028F-D4C4-FA457B4862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9" name="Straight Connector 3">
            <a:extLst>
              <a:ext uri="{FF2B5EF4-FFF2-40B4-BE49-F238E27FC236}">
                <a16:creationId xmlns:a16="http://schemas.microsoft.com/office/drawing/2014/main" id="{73AB7808-D84D-8337-E8B1-61BE5861EA3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7">
            <a:extLst>
              <a:ext uri="{FF2B5EF4-FFF2-40B4-BE49-F238E27FC236}">
                <a16:creationId xmlns:a16="http://schemas.microsoft.com/office/drawing/2014/main" id="{B15AE0C1-3DDD-A8FA-08FA-2B3703718B0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202922</xdr:colOff>
      <xdr:row>1</xdr:row>
      <xdr:rowOff>82830</xdr:rowOff>
    </xdr:from>
    <xdr:to>
      <xdr:col>14</xdr:col>
      <xdr:colOff>24847</xdr:colOff>
      <xdr:row>25</xdr:row>
      <xdr:rowOff>49697</xdr:rowOff>
    </xdr:to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0EC61267-D86D-41EF-A591-9AA79B23DE22}"/>
            </a:ext>
          </a:extLst>
        </xdr:cNvPr>
        <xdr:cNvSpPr txBox="1"/>
      </xdr:nvSpPr>
      <xdr:spPr>
        <a:xfrm rot="5400000">
          <a:off x="3021081" y="1936062"/>
          <a:ext cx="3578085" cy="2029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6</xdr:col>
      <xdr:colOff>8283</xdr:colOff>
      <xdr:row>26</xdr:row>
      <xdr:rowOff>99392</xdr:rowOff>
    </xdr:from>
    <xdr:to>
      <xdr:col>6</xdr:col>
      <xdr:colOff>152835</xdr:colOff>
      <xdr:row>27</xdr:row>
      <xdr:rowOff>95826</xdr:rowOff>
    </xdr:to>
    <xdr:grpSp>
      <xdr:nvGrpSpPr>
        <xdr:cNvPr id="222" name="Group 13">
          <a:extLst>
            <a:ext uri="{FF2B5EF4-FFF2-40B4-BE49-F238E27FC236}">
              <a16:creationId xmlns:a16="http://schemas.microsoft.com/office/drawing/2014/main" id="{DFC7C4DB-4BDE-4687-8594-8D38FA32601D}"/>
            </a:ext>
          </a:extLst>
        </xdr:cNvPr>
        <xdr:cNvGrpSpPr/>
      </xdr:nvGrpSpPr>
      <xdr:grpSpPr>
        <a:xfrm>
          <a:off x="1847022" y="4025349"/>
          <a:ext cx="144552" cy="145520"/>
          <a:chOff x="9937028" y="802652"/>
          <a:chExt cx="83991" cy="77961"/>
        </a:xfrm>
      </xdr:grpSpPr>
      <xdr:sp macro="" textlink="">
        <xdr:nvSpPr>
          <xdr:cNvPr id="223" name="Oval 1">
            <a:extLst>
              <a:ext uri="{FF2B5EF4-FFF2-40B4-BE49-F238E27FC236}">
                <a16:creationId xmlns:a16="http://schemas.microsoft.com/office/drawing/2014/main" id="{B3BF8C5E-80D9-2322-F8A7-C872311E833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4" name="Straight Connector 3">
            <a:extLst>
              <a:ext uri="{FF2B5EF4-FFF2-40B4-BE49-F238E27FC236}">
                <a16:creationId xmlns:a16="http://schemas.microsoft.com/office/drawing/2014/main" id="{7E7EC5AA-50EE-28FA-9F5F-9E57EADD18D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7">
            <a:extLst>
              <a:ext uri="{FF2B5EF4-FFF2-40B4-BE49-F238E27FC236}">
                <a16:creationId xmlns:a16="http://schemas.microsoft.com/office/drawing/2014/main" id="{192CBCC3-6151-4D56-FCD7-0B37DF16E36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0</xdr:colOff>
      <xdr:row>30</xdr:row>
      <xdr:rowOff>66261</xdr:rowOff>
    </xdr:from>
    <xdr:to>
      <xdr:col>6</xdr:col>
      <xdr:colOff>144552</xdr:colOff>
      <xdr:row>31</xdr:row>
      <xdr:rowOff>62694</xdr:rowOff>
    </xdr:to>
    <xdr:grpSp>
      <xdr:nvGrpSpPr>
        <xdr:cNvPr id="226" name="Group 13">
          <a:extLst>
            <a:ext uri="{FF2B5EF4-FFF2-40B4-BE49-F238E27FC236}">
              <a16:creationId xmlns:a16="http://schemas.microsoft.com/office/drawing/2014/main" id="{71A0CFD5-0D22-4DFC-A72B-0A3EC2089AFD}"/>
            </a:ext>
          </a:extLst>
        </xdr:cNvPr>
        <xdr:cNvGrpSpPr/>
      </xdr:nvGrpSpPr>
      <xdr:grpSpPr>
        <a:xfrm>
          <a:off x="1838739" y="4580283"/>
          <a:ext cx="144552" cy="145520"/>
          <a:chOff x="9937028" y="802652"/>
          <a:chExt cx="83991" cy="77961"/>
        </a:xfrm>
      </xdr:grpSpPr>
      <xdr:sp macro="" textlink="">
        <xdr:nvSpPr>
          <xdr:cNvPr id="227" name="Oval 1">
            <a:extLst>
              <a:ext uri="{FF2B5EF4-FFF2-40B4-BE49-F238E27FC236}">
                <a16:creationId xmlns:a16="http://schemas.microsoft.com/office/drawing/2014/main" id="{CFB21A2B-DAD0-B710-D4B6-F30BF407AA2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8" name="Straight Connector 3">
            <a:extLst>
              <a:ext uri="{FF2B5EF4-FFF2-40B4-BE49-F238E27FC236}">
                <a16:creationId xmlns:a16="http://schemas.microsoft.com/office/drawing/2014/main" id="{1BA80524-91A8-760D-ADC2-D8E95B6252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7">
            <a:extLst>
              <a:ext uri="{FF2B5EF4-FFF2-40B4-BE49-F238E27FC236}">
                <a16:creationId xmlns:a16="http://schemas.microsoft.com/office/drawing/2014/main" id="{80310E6F-6BD3-E59B-FF1F-4976935560C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364435</xdr:colOff>
      <xdr:row>30</xdr:row>
      <xdr:rowOff>66260</xdr:rowOff>
    </xdr:from>
    <xdr:to>
      <xdr:col>9</xdr:col>
      <xdr:colOff>127987</xdr:colOff>
      <xdr:row>31</xdr:row>
      <xdr:rowOff>62693</xdr:rowOff>
    </xdr:to>
    <xdr:grpSp>
      <xdr:nvGrpSpPr>
        <xdr:cNvPr id="230" name="Group 13">
          <a:extLst>
            <a:ext uri="{FF2B5EF4-FFF2-40B4-BE49-F238E27FC236}">
              <a16:creationId xmlns:a16="http://schemas.microsoft.com/office/drawing/2014/main" id="{BCB50AAB-168E-4B2D-97BE-99D88E51D065}"/>
            </a:ext>
          </a:extLst>
        </xdr:cNvPr>
        <xdr:cNvGrpSpPr/>
      </xdr:nvGrpSpPr>
      <xdr:grpSpPr>
        <a:xfrm>
          <a:off x="2965174" y="4580282"/>
          <a:ext cx="144552" cy="145520"/>
          <a:chOff x="9937028" y="802652"/>
          <a:chExt cx="83991" cy="77961"/>
        </a:xfrm>
      </xdr:grpSpPr>
      <xdr:sp macro="" textlink="">
        <xdr:nvSpPr>
          <xdr:cNvPr id="231" name="Oval 1">
            <a:extLst>
              <a:ext uri="{FF2B5EF4-FFF2-40B4-BE49-F238E27FC236}">
                <a16:creationId xmlns:a16="http://schemas.microsoft.com/office/drawing/2014/main" id="{AD906457-647F-5B16-8153-391EEA0A84C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2" name="Straight Connector 3">
            <a:extLst>
              <a:ext uri="{FF2B5EF4-FFF2-40B4-BE49-F238E27FC236}">
                <a16:creationId xmlns:a16="http://schemas.microsoft.com/office/drawing/2014/main" id="{C3D48CDE-1EED-D976-08C5-DE7266CCF01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7">
            <a:extLst>
              <a:ext uri="{FF2B5EF4-FFF2-40B4-BE49-F238E27FC236}">
                <a16:creationId xmlns:a16="http://schemas.microsoft.com/office/drawing/2014/main" id="{86EEC653-C007-B957-0432-F4D157EC6EC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347870</xdr:colOff>
      <xdr:row>23</xdr:row>
      <xdr:rowOff>140804</xdr:rowOff>
    </xdr:from>
    <xdr:to>
      <xdr:col>18</xdr:col>
      <xdr:colOff>198783</xdr:colOff>
      <xdr:row>23</xdr:row>
      <xdr:rowOff>140804</xdr:rowOff>
    </xdr:to>
    <xdr:cxnSp macro="">
      <xdr:nvCxnSpPr>
        <xdr:cNvPr id="234" name="Straight Connector 139">
          <a:extLst>
            <a:ext uri="{FF2B5EF4-FFF2-40B4-BE49-F238E27FC236}">
              <a16:creationId xmlns:a16="http://schemas.microsoft.com/office/drawing/2014/main" id="{51E964E9-E17E-4C52-9E13-F6284DAE2BAD}"/>
            </a:ext>
          </a:extLst>
        </xdr:cNvPr>
        <xdr:cNvCxnSpPr>
          <a:cxnSpLocks/>
        </xdr:cNvCxnSpPr>
      </xdr:nvCxnSpPr>
      <xdr:spPr bwMode="auto">
        <a:xfrm>
          <a:off x="1424609" y="3619500"/>
          <a:ext cx="518491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149087</xdr:colOff>
      <xdr:row>22</xdr:row>
      <xdr:rowOff>140805</xdr:rowOff>
    </xdr:from>
    <xdr:to>
      <xdr:col>17</xdr:col>
      <xdr:colOff>271058</xdr:colOff>
      <xdr:row>22</xdr:row>
      <xdr:rowOff>145636</xdr:rowOff>
    </xdr:to>
    <xdr:cxnSp macro="">
      <xdr:nvCxnSpPr>
        <xdr:cNvPr id="237" name="Straight Connector 139">
          <a:extLst>
            <a:ext uri="{FF2B5EF4-FFF2-40B4-BE49-F238E27FC236}">
              <a16:creationId xmlns:a16="http://schemas.microsoft.com/office/drawing/2014/main" id="{8ADE6E3E-F67D-4E55-8EFD-F60561568156}"/>
            </a:ext>
          </a:extLst>
        </xdr:cNvPr>
        <xdr:cNvCxnSpPr>
          <a:cxnSpLocks/>
          <a:endCxn id="218" idx="0"/>
        </xdr:cNvCxnSpPr>
      </xdr:nvCxnSpPr>
      <xdr:spPr bwMode="auto">
        <a:xfrm flipV="1">
          <a:off x="1987826" y="3470414"/>
          <a:ext cx="4312971" cy="483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72276</xdr:colOff>
      <xdr:row>23</xdr:row>
      <xdr:rowOff>135828</xdr:rowOff>
    </xdr:from>
    <xdr:to>
      <xdr:col>6</xdr:col>
      <xdr:colOff>102342</xdr:colOff>
      <xdr:row>30</xdr:row>
      <xdr:rowOff>66261</xdr:rowOff>
    </xdr:to>
    <xdr:cxnSp macro="">
      <xdr:nvCxnSpPr>
        <xdr:cNvPr id="239" name="Straight Connector 139">
          <a:extLst>
            <a:ext uri="{FF2B5EF4-FFF2-40B4-BE49-F238E27FC236}">
              <a16:creationId xmlns:a16="http://schemas.microsoft.com/office/drawing/2014/main" id="{8B9EF97A-5B31-4910-B3D5-02E3B061382C}"/>
            </a:ext>
          </a:extLst>
        </xdr:cNvPr>
        <xdr:cNvCxnSpPr>
          <a:cxnSpLocks/>
          <a:stCxn id="227" idx="0"/>
          <a:endCxn id="186" idx="4"/>
        </xdr:cNvCxnSpPr>
      </xdr:nvCxnSpPr>
      <xdr:spPr bwMode="auto">
        <a:xfrm flipV="1">
          <a:off x="1911015" y="3614524"/>
          <a:ext cx="30066" cy="96575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41412</xdr:colOff>
      <xdr:row>31</xdr:row>
      <xdr:rowOff>57979</xdr:rowOff>
    </xdr:from>
    <xdr:to>
      <xdr:col>16</xdr:col>
      <xdr:colOff>140804</xdr:colOff>
      <xdr:row>31</xdr:row>
      <xdr:rowOff>74543</xdr:rowOff>
    </xdr:to>
    <xdr:cxnSp macro="">
      <xdr:nvCxnSpPr>
        <xdr:cNvPr id="242" name="Straight Connector 139">
          <a:extLst>
            <a:ext uri="{FF2B5EF4-FFF2-40B4-BE49-F238E27FC236}">
              <a16:creationId xmlns:a16="http://schemas.microsoft.com/office/drawing/2014/main" id="{9E3BEDC4-44B9-477D-8240-AAC84607F0F5}"/>
            </a:ext>
          </a:extLst>
        </xdr:cNvPr>
        <xdr:cNvCxnSpPr>
          <a:cxnSpLocks/>
        </xdr:cNvCxnSpPr>
      </xdr:nvCxnSpPr>
      <xdr:spPr bwMode="auto">
        <a:xfrm>
          <a:off x="1499151" y="4721088"/>
          <a:ext cx="4290392" cy="1656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348759</xdr:colOff>
      <xdr:row>20</xdr:row>
      <xdr:rowOff>24848</xdr:rowOff>
    </xdr:from>
    <xdr:to>
      <xdr:col>17</xdr:col>
      <xdr:colOff>271058</xdr:colOff>
      <xdr:row>22</xdr:row>
      <xdr:rowOff>140805</xdr:rowOff>
    </xdr:to>
    <xdr:cxnSp macro="">
      <xdr:nvCxnSpPr>
        <xdr:cNvPr id="245" name="Straight Connector 139">
          <a:extLst>
            <a:ext uri="{FF2B5EF4-FFF2-40B4-BE49-F238E27FC236}">
              <a16:creationId xmlns:a16="http://schemas.microsoft.com/office/drawing/2014/main" id="{A31A2865-86CB-4767-99E8-18984A021E74}"/>
            </a:ext>
          </a:extLst>
        </xdr:cNvPr>
        <xdr:cNvCxnSpPr>
          <a:cxnSpLocks/>
          <a:stCxn id="189" idx="1"/>
          <a:endCxn id="218" idx="0"/>
        </xdr:cNvCxnSpPr>
      </xdr:nvCxnSpPr>
      <xdr:spPr bwMode="auto">
        <a:xfrm>
          <a:off x="5997498" y="3056283"/>
          <a:ext cx="303299" cy="41413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364435</xdr:colOff>
      <xdr:row>18</xdr:row>
      <xdr:rowOff>8282</xdr:rowOff>
    </xdr:from>
    <xdr:to>
      <xdr:col>19</xdr:col>
      <xdr:colOff>154884</xdr:colOff>
      <xdr:row>19</xdr:row>
      <xdr:rowOff>57978</xdr:rowOff>
    </xdr:to>
    <xdr:sp macro="" textlink="">
      <xdr:nvSpPr>
        <xdr:cNvPr id="248" name="TextBox 157">
          <a:extLst>
            <a:ext uri="{FF2B5EF4-FFF2-40B4-BE49-F238E27FC236}">
              <a16:creationId xmlns:a16="http://schemas.microsoft.com/office/drawing/2014/main" id="{66AFBB92-8C3C-42AF-9B60-F5852E27A3B7}"/>
            </a:ext>
          </a:extLst>
        </xdr:cNvPr>
        <xdr:cNvSpPr txBox="1"/>
      </xdr:nvSpPr>
      <xdr:spPr>
        <a:xfrm>
          <a:off x="5632174" y="2741543"/>
          <a:ext cx="1314449" cy="19878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3P 33KVA PRABAYAR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323022</xdr:colOff>
      <xdr:row>30</xdr:row>
      <xdr:rowOff>57978</xdr:rowOff>
    </xdr:from>
    <xdr:to>
      <xdr:col>12</xdr:col>
      <xdr:colOff>86574</xdr:colOff>
      <xdr:row>31</xdr:row>
      <xdr:rowOff>54411</xdr:rowOff>
    </xdr:to>
    <xdr:grpSp>
      <xdr:nvGrpSpPr>
        <xdr:cNvPr id="249" name="Group 13">
          <a:extLst>
            <a:ext uri="{FF2B5EF4-FFF2-40B4-BE49-F238E27FC236}">
              <a16:creationId xmlns:a16="http://schemas.microsoft.com/office/drawing/2014/main" id="{6F242B74-D20C-45EC-800D-71DA5DC587D4}"/>
            </a:ext>
          </a:extLst>
        </xdr:cNvPr>
        <xdr:cNvGrpSpPr/>
      </xdr:nvGrpSpPr>
      <xdr:grpSpPr>
        <a:xfrm>
          <a:off x="4066761" y="4572000"/>
          <a:ext cx="144552" cy="145520"/>
          <a:chOff x="9937028" y="802652"/>
          <a:chExt cx="83991" cy="77961"/>
        </a:xfrm>
      </xdr:grpSpPr>
      <xdr:sp macro="" textlink="">
        <xdr:nvSpPr>
          <xdr:cNvPr id="250" name="Oval 1">
            <a:extLst>
              <a:ext uri="{FF2B5EF4-FFF2-40B4-BE49-F238E27FC236}">
                <a16:creationId xmlns:a16="http://schemas.microsoft.com/office/drawing/2014/main" id="{50378868-B169-67C8-2D4D-0BF5A24BB13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1" name="Straight Connector 3">
            <a:extLst>
              <a:ext uri="{FF2B5EF4-FFF2-40B4-BE49-F238E27FC236}">
                <a16:creationId xmlns:a16="http://schemas.microsoft.com/office/drawing/2014/main" id="{4F732316-2156-5423-9BDE-F7749B10EA3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7">
            <a:extLst>
              <a:ext uri="{FF2B5EF4-FFF2-40B4-BE49-F238E27FC236}">
                <a16:creationId xmlns:a16="http://schemas.microsoft.com/office/drawing/2014/main" id="{8245EC4F-AFAA-067F-1DBF-F11AB617E93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16565</xdr:colOff>
      <xdr:row>30</xdr:row>
      <xdr:rowOff>66261</xdr:rowOff>
    </xdr:from>
    <xdr:to>
      <xdr:col>15</xdr:col>
      <xdr:colOff>161117</xdr:colOff>
      <xdr:row>31</xdr:row>
      <xdr:rowOff>62694</xdr:rowOff>
    </xdr:to>
    <xdr:grpSp>
      <xdr:nvGrpSpPr>
        <xdr:cNvPr id="253" name="Group 13">
          <a:extLst>
            <a:ext uri="{FF2B5EF4-FFF2-40B4-BE49-F238E27FC236}">
              <a16:creationId xmlns:a16="http://schemas.microsoft.com/office/drawing/2014/main" id="{C4D495AF-F11E-46FF-9B75-EA3A7ACEFF33}"/>
            </a:ext>
          </a:extLst>
        </xdr:cNvPr>
        <xdr:cNvGrpSpPr/>
      </xdr:nvGrpSpPr>
      <xdr:grpSpPr>
        <a:xfrm>
          <a:off x="5284304" y="4580283"/>
          <a:ext cx="144552" cy="145520"/>
          <a:chOff x="9937028" y="802652"/>
          <a:chExt cx="83991" cy="77961"/>
        </a:xfrm>
      </xdr:grpSpPr>
      <xdr:sp macro="" textlink="">
        <xdr:nvSpPr>
          <xdr:cNvPr id="254" name="Oval 1">
            <a:extLst>
              <a:ext uri="{FF2B5EF4-FFF2-40B4-BE49-F238E27FC236}">
                <a16:creationId xmlns:a16="http://schemas.microsoft.com/office/drawing/2014/main" id="{AA00CDB8-4324-97BB-8ACA-339E60435EC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5" name="Straight Connector 3">
            <a:extLst>
              <a:ext uri="{FF2B5EF4-FFF2-40B4-BE49-F238E27FC236}">
                <a16:creationId xmlns:a16="http://schemas.microsoft.com/office/drawing/2014/main" id="{F2AC6F64-9C6B-9557-7F1D-56258499536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7">
            <a:extLst>
              <a:ext uri="{FF2B5EF4-FFF2-40B4-BE49-F238E27FC236}">
                <a16:creationId xmlns:a16="http://schemas.microsoft.com/office/drawing/2014/main" id="{E5E72118-A028-6943-06F0-F20574064A2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306457</xdr:colOff>
      <xdr:row>31</xdr:row>
      <xdr:rowOff>91110</xdr:rowOff>
    </xdr:from>
    <xdr:to>
      <xdr:col>15</xdr:col>
      <xdr:colOff>156460</xdr:colOff>
      <xdr:row>32</xdr:row>
      <xdr:rowOff>33131</xdr:rowOff>
    </xdr:to>
    <xdr:grpSp>
      <xdr:nvGrpSpPr>
        <xdr:cNvPr id="258" name="Group 134">
          <a:extLst>
            <a:ext uri="{FF2B5EF4-FFF2-40B4-BE49-F238E27FC236}">
              <a16:creationId xmlns:a16="http://schemas.microsoft.com/office/drawing/2014/main" id="{73B9F11E-C718-4DC3-9DBC-A68F15783CFD}"/>
            </a:ext>
          </a:extLst>
        </xdr:cNvPr>
        <xdr:cNvGrpSpPr/>
      </xdr:nvGrpSpPr>
      <xdr:grpSpPr>
        <a:xfrm>
          <a:off x="5193196" y="4754219"/>
          <a:ext cx="231003" cy="91108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59" name="Isosceles Triangle 118">
            <a:extLst>
              <a:ext uri="{FF2B5EF4-FFF2-40B4-BE49-F238E27FC236}">
                <a16:creationId xmlns:a16="http://schemas.microsoft.com/office/drawing/2014/main" id="{D89A2403-7ADD-8785-65A9-C3799AEA76A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0" name="Isosceles Triangle 119">
            <a:extLst>
              <a:ext uri="{FF2B5EF4-FFF2-40B4-BE49-F238E27FC236}">
                <a16:creationId xmlns:a16="http://schemas.microsoft.com/office/drawing/2014/main" id="{C0C6876A-65B7-14F2-868E-691F0096761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1" name="Isosceles Triangle 120">
            <a:extLst>
              <a:ext uri="{FF2B5EF4-FFF2-40B4-BE49-F238E27FC236}">
                <a16:creationId xmlns:a16="http://schemas.microsoft.com/office/drawing/2014/main" id="{F3EB6965-EA2D-F3DB-897B-E1DC30D578A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14298</xdr:colOff>
      <xdr:row>30</xdr:row>
      <xdr:rowOff>57978</xdr:rowOff>
    </xdr:from>
    <xdr:to>
      <xdr:col>15</xdr:col>
      <xdr:colOff>88841</xdr:colOff>
      <xdr:row>30</xdr:row>
      <xdr:rowOff>66261</xdr:rowOff>
    </xdr:to>
    <xdr:cxnSp macro="">
      <xdr:nvCxnSpPr>
        <xdr:cNvPr id="262" name="Straight Connector 139">
          <a:extLst>
            <a:ext uri="{FF2B5EF4-FFF2-40B4-BE49-F238E27FC236}">
              <a16:creationId xmlns:a16="http://schemas.microsoft.com/office/drawing/2014/main" id="{4E27F5E0-EFBD-43A3-800B-9800CDF20CE6}"/>
            </a:ext>
          </a:extLst>
        </xdr:cNvPr>
        <xdr:cNvCxnSpPr>
          <a:cxnSpLocks/>
          <a:stCxn id="250" idx="0"/>
          <a:endCxn id="254" idx="0"/>
        </xdr:cNvCxnSpPr>
      </xdr:nvCxnSpPr>
      <xdr:spPr bwMode="auto">
        <a:xfrm>
          <a:off x="4139037" y="4572000"/>
          <a:ext cx="1217543" cy="82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124238</xdr:colOff>
      <xdr:row>20</xdr:row>
      <xdr:rowOff>66261</xdr:rowOff>
    </xdr:from>
    <xdr:to>
      <xdr:col>12</xdr:col>
      <xdr:colOff>268790</xdr:colOff>
      <xdr:row>21</xdr:row>
      <xdr:rowOff>62694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F35A23F9-757D-40E4-9601-E09FE52E0FDA}"/>
            </a:ext>
          </a:extLst>
        </xdr:cNvPr>
        <xdr:cNvGrpSpPr/>
      </xdr:nvGrpSpPr>
      <xdr:grpSpPr>
        <a:xfrm>
          <a:off x="4248977" y="3097696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0C11944C-12D5-63A8-49E8-CFEBA08F334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C05A5CBB-E562-BD96-051D-4D1A253C5E6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24B04F4E-1B88-AD7F-3CA3-9E6F80963D0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140804</xdr:colOff>
      <xdr:row>16</xdr:row>
      <xdr:rowOff>124238</xdr:rowOff>
    </xdr:from>
    <xdr:to>
      <xdr:col>12</xdr:col>
      <xdr:colOff>285356</xdr:colOff>
      <xdr:row>17</xdr:row>
      <xdr:rowOff>120671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282FF51F-EA69-41F2-9BDA-3154A45F0B6B}"/>
            </a:ext>
          </a:extLst>
        </xdr:cNvPr>
        <xdr:cNvGrpSpPr/>
      </xdr:nvGrpSpPr>
      <xdr:grpSpPr>
        <a:xfrm>
          <a:off x="4265543" y="2559325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BB7328EB-42A4-7875-9FD6-CA7DB33F9BA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1E3B8BFD-1F21-EFAA-D172-9357ECB8020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5EAB8A06-4B55-EF9F-298C-DA39B9A9EF2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140804</xdr:colOff>
      <xdr:row>13</xdr:row>
      <xdr:rowOff>115956</xdr:rowOff>
    </xdr:from>
    <xdr:to>
      <xdr:col>12</xdr:col>
      <xdr:colOff>285356</xdr:colOff>
      <xdr:row>14</xdr:row>
      <xdr:rowOff>112389</xdr:rowOff>
    </xdr:to>
    <xdr:grpSp>
      <xdr:nvGrpSpPr>
        <xdr:cNvPr id="273" name="Group 13">
          <a:extLst>
            <a:ext uri="{FF2B5EF4-FFF2-40B4-BE49-F238E27FC236}">
              <a16:creationId xmlns:a16="http://schemas.microsoft.com/office/drawing/2014/main" id="{8636597E-E440-49EA-85FA-140FAF015BD3}"/>
            </a:ext>
          </a:extLst>
        </xdr:cNvPr>
        <xdr:cNvGrpSpPr/>
      </xdr:nvGrpSpPr>
      <xdr:grpSpPr>
        <a:xfrm>
          <a:off x="4265543" y="2103782"/>
          <a:ext cx="144552" cy="145520"/>
          <a:chOff x="9937028" y="802652"/>
          <a:chExt cx="83991" cy="77961"/>
        </a:xfrm>
      </xdr:grpSpPr>
      <xdr:sp macro="" textlink="">
        <xdr:nvSpPr>
          <xdr:cNvPr id="274" name="Oval 1">
            <a:extLst>
              <a:ext uri="{FF2B5EF4-FFF2-40B4-BE49-F238E27FC236}">
                <a16:creationId xmlns:a16="http://schemas.microsoft.com/office/drawing/2014/main" id="{2AEFBE76-E839-69B1-7305-19A945512B2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5" name="Straight Connector 3">
            <a:extLst>
              <a:ext uri="{FF2B5EF4-FFF2-40B4-BE49-F238E27FC236}">
                <a16:creationId xmlns:a16="http://schemas.microsoft.com/office/drawing/2014/main" id="{33702563-E9FC-4CF7-F3BB-6291688DE19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Straight Connector 7">
            <a:extLst>
              <a:ext uri="{FF2B5EF4-FFF2-40B4-BE49-F238E27FC236}">
                <a16:creationId xmlns:a16="http://schemas.microsoft.com/office/drawing/2014/main" id="{B7EFE51D-8224-F6D0-BF84-CDB2ADE4737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14298</xdr:colOff>
      <xdr:row>21</xdr:row>
      <xdr:rowOff>41383</xdr:rowOff>
    </xdr:from>
    <xdr:to>
      <xdr:col>12</xdr:col>
      <xdr:colOff>247621</xdr:colOff>
      <xdr:row>30</xdr:row>
      <xdr:rowOff>57978</xdr:rowOff>
    </xdr:to>
    <xdr:cxnSp macro="">
      <xdr:nvCxnSpPr>
        <xdr:cNvPr id="277" name="Straight Connector 139">
          <a:extLst>
            <a:ext uri="{FF2B5EF4-FFF2-40B4-BE49-F238E27FC236}">
              <a16:creationId xmlns:a16="http://schemas.microsoft.com/office/drawing/2014/main" id="{B1AD1F4F-0370-4827-A74F-CB76BD031F0D}"/>
            </a:ext>
          </a:extLst>
        </xdr:cNvPr>
        <xdr:cNvCxnSpPr>
          <a:cxnSpLocks/>
          <a:stCxn id="250" idx="0"/>
          <a:endCxn id="266" idx="5"/>
        </xdr:cNvCxnSpPr>
      </xdr:nvCxnSpPr>
      <xdr:spPr bwMode="auto">
        <a:xfrm flipV="1">
          <a:off x="4139037" y="3221905"/>
          <a:ext cx="233323" cy="135009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268790</xdr:colOff>
      <xdr:row>2</xdr:row>
      <xdr:rowOff>107674</xdr:rowOff>
    </xdr:from>
    <xdr:to>
      <xdr:col>12</xdr:col>
      <xdr:colOff>339587</xdr:colOff>
      <xdr:row>20</xdr:row>
      <xdr:rowOff>139021</xdr:rowOff>
    </xdr:to>
    <xdr:cxnSp macro="">
      <xdr:nvCxnSpPr>
        <xdr:cNvPr id="282" name="Straight Connector 139">
          <a:extLst>
            <a:ext uri="{FF2B5EF4-FFF2-40B4-BE49-F238E27FC236}">
              <a16:creationId xmlns:a16="http://schemas.microsoft.com/office/drawing/2014/main" id="{09401625-1F9C-4ED5-B498-B26A197A71CF}"/>
            </a:ext>
          </a:extLst>
        </xdr:cNvPr>
        <xdr:cNvCxnSpPr>
          <a:cxnSpLocks/>
          <a:stCxn id="266" idx="6"/>
        </xdr:cNvCxnSpPr>
      </xdr:nvCxnSpPr>
      <xdr:spPr bwMode="auto">
        <a:xfrm flipV="1">
          <a:off x="4393529" y="438978"/>
          <a:ext cx="70797" cy="27314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140804</xdr:colOff>
      <xdr:row>30</xdr:row>
      <xdr:rowOff>8282</xdr:rowOff>
    </xdr:from>
    <xdr:to>
      <xdr:col>13</xdr:col>
      <xdr:colOff>279939</xdr:colOff>
      <xdr:row>30</xdr:row>
      <xdr:rowOff>71727</xdr:rowOff>
    </xdr:to>
    <xdr:grpSp>
      <xdr:nvGrpSpPr>
        <xdr:cNvPr id="285" name="Grup 239">
          <a:extLst>
            <a:ext uri="{FF2B5EF4-FFF2-40B4-BE49-F238E27FC236}">
              <a16:creationId xmlns:a16="http://schemas.microsoft.com/office/drawing/2014/main" id="{06555D66-675D-4467-A0C0-A3FFA20B0D0A}"/>
            </a:ext>
          </a:extLst>
        </xdr:cNvPr>
        <xdr:cNvGrpSpPr/>
      </xdr:nvGrpSpPr>
      <xdr:grpSpPr>
        <a:xfrm>
          <a:off x="4646543" y="4522304"/>
          <a:ext cx="139135" cy="63445"/>
          <a:chOff x="13302191" y="2320613"/>
          <a:chExt cx="139135" cy="57233"/>
        </a:xfrm>
      </xdr:grpSpPr>
      <xdr:cxnSp macro="">
        <xdr:nvCxnSpPr>
          <xdr:cNvPr id="286" name="Straight Connector 81">
            <a:extLst>
              <a:ext uri="{FF2B5EF4-FFF2-40B4-BE49-F238E27FC236}">
                <a16:creationId xmlns:a16="http://schemas.microsoft.com/office/drawing/2014/main" id="{E2260293-4919-A69D-8722-55882D3F185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82">
            <a:extLst>
              <a:ext uri="{FF2B5EF4-FFF2-40B4-BE49-F238E27FC236}">
                <a16:creationId xmlns:a16="http://schemas.microsoft.com/office/drawing/2014/main" id="{A4EDE513-A817-B569-52B1-97941F016A5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83">
            <a:extLst>
              <a:ext uri="{FF2B5EF4-FFF2-40B4-BE49-F238E27FC236}">
                <a16:creationId xmlns:a16="http://schemas.microsoft.com/office/drawing/2014/main" id="{7ED5A8DE-5C87-D39B-6992-CC81E8A5B09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84">
            <a:extLst>
              <a:ext uri="{FF2B5EF4-FFF2-40B4-BE49-F238E27FC236}">
                <a16:creationId xmlns:a16="http://schemas.microsoft.com/office/drawing/2014/main" id="{0BA4A217-730F-2B26-B15E-8973EE084CC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44726</xdr:colOff>
      <xdr:row>26</xdr:row>
      <xdr:rowOff>44728</xdr:rowOff>
    </xdr:from>
    <xdr:to>
      <xdr:col>12</xdr:col>
      <xdr:colOff>183861</xdr:colOff>
      <xdr:row>26</xdr:row>
      <xdr:rowOff>108173</xdr:rowOff>
    </xdr:to>
    <xdr:grpSp>
      <xdr:nvGrpSpPr>
        <xdr:cNvPr id="290" name="Grup 239">
          <a:extLst>
            <a:ext uri="{FF2B5EF4-FFF2-40B4-BE49-F238E27FC236}">
              <a16:creationId xmlns:a16="http://schemas.microsoft.com/office/drawing/2014/main" id="{033C95CD-9155-428F-9FA9-0CB766CF77B1}"/>
            </a:ext>
          </a:extLst>
        </xdr:cNvPr>
        <xdr:cNvGrpSpPr/>
      </xdr:nvGrpSpPr>
      <xdr:grpSpPr>
        <a:xfrm rot="150658">
          <a:off x="4169465" y="3970685"/>
          <a:ext cx="139135" cy="63445"/>
          <a:chOff x="13302191" y="2320613"/>
          <a:chExt cx="139135" cy="57233"/>
        </a:xfrm>
      </xdr:grpSpPr>
      <xdr:cxnSp macro="">
        <xdr:nvCxnSpPr>
          <xdr:cNvPr id="291" name="Straight Connector 81">
            <a:extLst>
              <a:ext uri="{FF2B5EF4-FFF2-40B4-BE49-F238E27FC236}">
                <a16:creationId xmlns:a16="http://schemas.microsoft.com/office/drawing/2014/main" id="{B25C4FAE-DFEE-5F04-096E-86DD389A681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2" name="Straight Connector 82">
            <a:extLst>
              <a:ext uri="{FF2B5EF4-FFF2-40B4-BE49-F238E27FC236}">
                <a16:creationId xmlns:a16="http://schemas.microsoft.com/office/drawing/2014/main" id="{6B385C7F-E1F5-E6C6-565D-BF2DAA6419A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3" name="Straight Connector 83">
            <a:extLst>
              <a:ext uri="{FF2B5EF4-FFF2-40B4-BE49-F238E27FC236}">
                <a16:creationId xmlns:a16="http://schemas.microsoft.com/office/drawing/2014/main" id="{E5798B4B-8875-23B0-7D28-82B9C1B8B41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84">
            <a:extLst>
              <a:ext uri="{FF2B5EF4-FFF2-40B4-BE49-F238E27FC236}">
                <a16:creationId xmlns:a16="http://schemas.microsoft.com/office/drawing/2014/main" id="{F67DBAFB-96CA-EC07-FAEB-6FB8EBB3C8E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188843</xdr:colOff>
      <xdr:row>18</xdr:row>
      <xdr:rowOff>81171</xdr:rowOff>
    </xdr:from>
    <xdr:to>
      <xdr:col>12</xdr:col>
      <xdr:colOff>327978</xdr:colOff>
      <xdr:row>18</xdr:row>
      <xdr:rowOff>144616</xdr:rowOff>
    </xdr:to>
    <xdr:grpSp>
      <xdr:nvGrpSpPr>
        <xdr:cNvPr id="295" name="Grup 239">
          <a:extLst>
            <a:ext uri="{FF2B5EF4-FFF2-40B4-BE49-F238E27FC236}">
              <a16:creationId xmlns:a16="http://schemas.microsoft.com/office/drawing/2014/main" id="{01B66A38-6E45-449F-894C-019007694060}"/>
            </a:ext>
          </a:extLst>
        </xdr:cNvPr>
        <xdr:cNvGrpSpPr/>
      </xdr:nvGrpSpPr>
      <xdr:grpSpPr>
        <a:xfrm>
          <a:off x="4313582" y="2814432"/>
          <a:ext cx="139135" cy="63445"/>
          <a:chOff x="13302191" y="2320613"/>
          <a:chExt cx="139135" cy="57233"/>
        </a:xfrm>
      </xdr:grpSpPr>
      <xdr:cxnSp macro="">
        <xdr:nvCxnSpPr>
          <xdr:cNvPr id="296" name="Straight Connector 81">
            <a:extLst>
              <a:ext uri="{FF2B5EF4-FFF2-40B4-BE49-F238E27FC236}">
                <a16:creationId xmlns:a16="http://schemas.microsoft.com/office/drawing/2014/main" id="{B2ACA337-037B-298C-EB86-0D7B7B771DC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82">
            <a:extLst>
              <a:ext uri="{FF2B5EF4-FFF2-40B4-BE49-F238E27FC236}">
                <a16:creationId xmlns:a16="http://schemas.microsoft.com/office/drawing/2014/main" id="{4B87FA0C-A1AA-2BD6-4365-8A85C4AAC7C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83">
            <a:extLst>
              <a:ext uri="{FF2B5EF4-FFF2-40B4-BE49-F238E27FC236}">
                <a16:creationId xmlns:a16="http://schemas.microsoft.com/office/drawing/2014/main" id="{1A9FD9C2-9F23-367D-981D-C757E356DC2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84">
            <a:extLst>
              <a:ext uri="{FF2B5EF4-FFF2-40B4-BE49-F238E27FC236}">
                <a16:creationId xmlns:a16="http://schemas.microsoft.com/office/drawing/2014/main" id="{0FE86F5B-37E2-4EFE-2B17-44ACCF371E9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217005</xdr:colOff>
      <xdr:row>15</xdr:row>
      <xdr:rowOff>76200</xdr:rowOff>
    </xdr:from>
    <xdr:to>
      <xdr:col>12</xdr:col>
      <xdr:colOff>356140</xdr:colOff>
      <xdr:row>15</xdr:row>
      <xdr:rowOff>139645</xdr:rowOff>
    </xdr:to>
    <xdr:grpSp>
      <xdr:nvGrpSpPr>
        <xdr:cNvPr id="300" name="Grup 239">
          <a:extLst>
            <a:ext uri="{FF2B5EF4-FFF2-40B4-BE49-F238E27FC236}">
              <a16:creationId xmlns:a16="http://schemas.microsoft.com/office/drawing/2014/main" id="{BF85C659-8B91-4C85-A041-3904B8D80977}"/>
            </a:ext>
          </a:extLst>
        </xdr:cNvPr>
        <xdr:cNvGrpSpPr/>
      </xdr:nvGrpSpPr>
      <xdr:grpSpPr>
        <a:xfrm>
          <a:off x="4341744" y="2362200"/>
          <a:ext cx="139135" cy="63445"/>
          <a:chOff x="13302191" y="2320613"/>
          <a:chExt cx="139135" cy="57233"/>
        </a:xfrm>
      </xdr:grpSpPr>
      <xdr:cxnSp macro="">
        <xdr:nvCxnSpPr>
          <xdr:cNvPr id="301" name="Straight Connector 81">
            <a:extLst>
              <a:ext uri="{FF2B5EF4-FFF2-40B4-BE49-F238E27FC236}">
                <a16:creationId xmlns:a16="http://schemas.microsoft.com/office/drawing/2014/main" id="{86D0DC29-1A9A-A876-77B8-E7538205509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82">
            <a:extLst>
              <a:ext uri="{FF2B5EF4-FFF2-40B4-BE49-F238E27FC236}">
                <a16:creationId xmlns:a16="http://schemas.microsoft.com/office/drawing/2014/main" id="{EDFDD02A-4F35-A3A4-723C-1905B0CF417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Straight Connector 83">
            <a:extLst>
              <a:ext uri="{FF2B5EF4-FFF2-40B4-BE49-F238E27FC236}">
                <a16:creationId xmlns:a16="http://schemas.microsoft.com/office/drawing/2014/main" id="{A7C17097-7A8E-9C86-78D4-B788A261F34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Connector 84">
            <a:extLst>
              <a:ext uri="{FF2B5EF4-FFF2-40B4-BE49-F238E27FC236}">
                <a16:creationId xmlns:a16="http://schemas.microsoft.com/office/drawing/2014/main" id="{796C9E6A-D13C-1889-5A4D-6CAF7881FC8F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369405</xdr:colOff>
      <xdr:row>22</xdr:row>
      <xdr:rowOff>104361</xdr:rowOff>
    </xdr:from>
    <xdr:to>
      <xdr:col>16</xdr:col>
      <xdr:colOff>127540</xdr:colOff>
      <xdr:row>23</xdr:row>
      <xdr:rowOff>18719</xdr:rowOff>
    </xdr:to>
    <xdr:grpSp>
      <xdr:nvGrpSpPr>
        <xdr:cNvPr id="305" name="Grup 239">
          <a:extLst>
            <a:ext uri="{FF2B5EF4-FFF2-40B4-BE49-F238E27FC236}">
              <a16:creationId xmlns:a16="http://schemas.microsoft.com/office/drawing/2014/main" id="{8A24B585-10C5-42C5-825B-810B79945477}"/>
            </a:ext>
          </a:extLst>
        </xdr:cNvPr>
        <xdr:cNvGrpSpPr/>
      </xdr:nvGrpSpPr>
      <xdr:grpSpPr>
        <a:xfrm>
          <a:off x="5637144" y="3433970"/>
          <a:ext cx="139135" cy="63445"/>
          <a:chOff x="13302191" y="2320613"/>
          <a:chExt cx="139135" cy="57233"/>
        </a:xfrm>
      </xdr:grpSpPr>
      <xdr:cxnSp macro="">
        <xdr:nvCxnSpPr>
          <xdr:cNvPr id="306" name="Straight Connector 81">
            <a:extLst>
              <a:ext uri="{FF2B5EF4-FFF2-40B4-BE49-F238E27FC236}">
                <a16:creationId xmlns:a16="http://schemas.microsoft.com/office/drawing/2014/main" id="{B73B1709-BC01-B4CD-1CDE-0F3D21A99CB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Connector 82">
            <a:extLst>
              <a:ext uri="{FF2B5EF4-FFF2-40B4-BE49-F238E27FC236}">
                <a16:creationId xmlns:a16="http://schemas.microsoft.com/office/drawing/2014/main" id="{3F96E284-6226-584C-3AA1-3719F2E4FEE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83">
            <a:extLst>
              <a:ext uri="{FF2B5EF4-FFF2-40B4-BE49-F238E27FC236}">
                <a16:creationId xmlns:a16="http://schemas.microsoft.com/office/drawing/2014/main" id="{C8ED466F-7AED-33DC-D871-E11D43D84CE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Straight Connector 84">
            <a:extLst>
              <a:ext uri="{FF2B5EF4-FFF2-40B4-BE49-F238E27FC236}">
                <a16:creationId xmlns:a16="http://schemas.microsoft.com/office/drawing/2014/main" id="{4B49C27F-6F99-BDA2-7489-D41645E351B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215348</xdr:colOff>
      <xdr:row>22</xdr:row>
      <xdr:rowOff>107674</xdr:rowOff>
    </xdr:from>
    <xdr:to>
      <xdr:col>13</xdr:col>
      <xdr:colOff>354483</xdr:colOff>
      <xdr:row>23</xdr:row>
      <xdr:rowOff>22032</xdr:rowOff>
    </xdr:to>
    <xdr:grpSp>
      <xdr:nvGrpSpPr>
        <xdr:cNvPr id="310" name="Grup 239">
          <a:extLst>
            <a:ext uri="{FF2B5EF4-FFF2-40B4-BE49-F238E27FC236}">
              <a16:creationId xmlns:a16="http://schemas.microsoft.com/office/drawing/2014/main" id="{E50C0D34-AA62-4CB4-A12C-94B1277674DA}"/>
            </a:ext>
          </a:extLst>
        </xdr:cNvPr>
        <xdr:cNvGrpSpPr/>
      </xdr:nvGrpSpPr>
      <xdr:grpSpPr>
        <a:xfrm>
          <a:off x="4721087" y="3437283"/>
          <a:ext cx="139135" cy="63445"/>
          <a:chOff x="13302191" y="2320613"/>
          <a:chExt cx="139135" cy="57233"/>
        </a:xfrm>
      </xdr:grpSpPr>
      <xdr:cxnSp macro="">
        <xdr:nvCxnSpPr>
          <xdr:cNvPr id="311" name="Straight Connector 81">
            <a:extLst>
              <a:ext uri="{FF2B5EF4-FFF2-40B4-BE49-F238E27FC236}">
                <a16:creationId xmlns:a16="http://schemas.microsoft.com/office/drawing/2014/main" id="{1E73A746-0FB4-D044-68D0-8BFC2AA2EC5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82">
            <a:extLst>
              <a:ext uri="{FF2B5EF4-FFF2-40B4-BE49-F238E27FC236}">
                <a16:creationId xmlns:a16="http://schemas.microsoft.com/office/drawing/2014/main" id="{EB5F4F14-A7EC-6A8B-49E5-23687139EA0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" name="Straight Connector 83">
            <a:extLst>
              <a:ext uri="{FF2B5EF4-FFF2-40B4-BE49-F238E27FC236}">
                <a16:creationId xmlns:a16="http://schemas.microsoft.com/office/drawing/2014/main" id="{BE69A36B-D722-5727-3514-E82D57AEB0F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84">
            <a:extLst>
              <a:ext uri="{FF2B5EF4-FFF2-40B4-BE49-F238E27FC236}">
                <a16:creationId xmlns:a16="http://schemas.microsoft.com/office/drawing/2014/main" id="{73DB2183-B846-F7D2-8FD7-574B2011FF6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36444</xdr:colOff>
      <xdr:row>21</xdr:row>
      <xdr:rowOff>44726</xdr:rowOff>
    </xdr:from>
    <xdr:to>
      <xdr:col>17</xdr:col>
      <xdr:colOff>175579</xdr:colOff>
      <xdr:row>21</xdr:row>
      <xdr:rowOff>108171</xdr:rowOff>
    </xdr:to>
    <xdr:grpSp>
      <xdr:nvGrpSpPr>
        <xdr:cNvPr id="315" name="Grup 239">
          <a:extLst>
            <a:ext uri="{FF2B5EF4-FFF2-40B4-BE49-F238E27FC236}">
              <a16:creationId xmlns:a16="http://schemas.microsoft.com/office/drawing/2014/main" id="{963A822E-9884-41F9-82F6-0168A29CA7BC}"/>
            </a:ext>
          </a:extLst>
        </xdr:cNvPr>
        <xdr:cNvGrpSpPr/>
      </xdr:nvGrpSpPr>
      <xdr:grpSpPr>
        <a:xfrm>
          <a:off x="6066183" y="3225248"/>
          <a:ext cx="139135" cy="63445"/>
          <a:chOff x="13302191" y="2320613"/>
          <a:chExt cx="139135" cy="57233"/>
        </a:xfrm>
      </xdr:grpSpPr>
      <xdr:cxnSp macro="">
        <xdr:nvCxnSpPr>
          <xdr:cNvPr id="316" name="Straight Connector 81">
            <a:extLst>
              <a:ext uri="{FF2B5EF4-FFF2-40B4-BE49-F238E27FC236}">
                <a16:creationId xmlns:a16="http://schemas.microsoft.com/office/drawing/2014/main" id="{0A9F8B70-70B1-8422-3B87-5EFEDB2F814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" name="Straight Connector 82">
            <a:extLst>
              <a:ext uri="{FF2B5EF4-FFF2-40B4-BE49-F238E27FC236}">
                <a16:creationId xmlns:a16="http://schemas.microsoft.com/office/drawing/2014/main" id="{69DBF9A2-DF93-9FA3-E90E-133886F1AE7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83">
            <a:extLst>
              <a:ext uri="{FF2B5EF4-FFF2-40B4-BE49-F238E27FC236}">
                <a16:creationId xmlns:a16="http://schemas.microsoft.com/office/drawing/2014/main" id="{EFC21A40-F8B9-DB95-9741-E473A39F1A3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84">
            <a:extLst>
              <a:ext uri="{FF2B5EF4-FFF2-40B4-BE49-F238E27FC236}">
                <a16:creationId xmlns:a16="http://schemas.microsoft.com/office/drawing/2014/main" id="{BDD433D0-2459-401D-F103-338B7C77079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197126</xdr:colOff>
      <xdr:row>22</xdr:row>
      <xdr:rowOff>106016</xdr:rowOff>
    </xdr:from>
    <xdr:to>
      <xdr:col>10</xdr:col>
      <xdr:colOff>336261</xdr:colOff>
      <xdr:row>23</xdr:row>
      <xdr:rowOff>20374</xdr:rowOff>
    </xdr:to>
    <xdr:grpSp>
      <xdr:nvGrpSpPr>
        <xdr:cNvPr id="320" name="Grup 239">
          <a:extLst>
            <a:ext uri="{FF2B5EF4-FFF2-40B4-BE49-F238E27FC236}">
              <a16:creationId xmlns:a16="http://schemas.microsoft.com/office/drawing/2014/main" id="{DFB2622A-B599-48C4-A6B0-CC8E6C84B62D}"/>
            </a:ext>
          </a:extLst>
        </xdr:cNvPr>
        <xdr:cNvGrpSpPr/>
      </xdr:nvGrpSpPr>
      <xdr:grpSpPr>
        <a:xfrm>
          <a:off x="3559865" y="3435625"/>
          <a:ext cx="139135" cy="63445"/>
          <a:chOff x="13302191" y="2320613"/>
          <a:chExt cx="139135" cy="57233"/>
        </a:xfrm>
      </xdr:grpSpPr>
      <xdr:cxnSp macro="">
        <xdr:nvCxnSpPr>
          <xdr:cNvPr id="321" name="Straight Connector 81">
            <a:extLst>
              <a:ext uri="{FF2B5EF4-FFF2-40B4-BE49-F238E27FC236}">
                <a16:creationId xmlns:a16="http://schemas.microsoft.com/office/drawing/2014/main" id="{332BD3E1-9D9F-B235-3D69-A0DEEB3C2C8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82">
            <a:extLst>
              <a:ext uri="{FF2B5EF4-FFF2-40B4-BE49-F238E27FC236}">
                <a16:creationId xmlns:a16="http://schemas.microsoft.com/office/drawing/2014/main" id="{16D2D606-0EC3-280D-9CE1-8B8A8C84B00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Straight Connector 83">
            <a:extLst>
              <a:ext uri="{FF2B5EF4-FFF2-40B4-BE49-F238E27FC236}">
                <a16:creationId xmlns:a16="http://schemas.microsoft.com/office/drawing/2014/main" id="{778BEA41-E823-4D81-4BC9-0D420F71520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84">
            <a:extLst>
              <a:ext uri="{FF2B5EF4-FFF2-40B4-BE49-F238E27FC236}">
                <a16:creationId xmlns:a16="http://schemas.microsoft.com/office/drawing/2014/main" id="{3F0072AE-1AB2-88D9-E5AA-0B37802418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331304</xdr:colOff>
      <xdr:row>22</xdr:row>
      <xdr:rowOff>107673</xdr:rowOff>
    </xdr:from>
    <xdr:to>
      <xdr:col>8</xdr:col>
      <xdr:colOff>89439</xdr:colOff>
      <xdr:row>23</xdr:row>
      <xdr:rowOff>22031</xdr:rowOff>
    </xdr:to>
    <xdr:grpSp>
      <xdr:nvGrpSpPr>
        <xdr:cNvPr id="325" name="Grup 239">
          <a:extLst>
            <a:ext uri="{FF2B5EF4-FFF2-40B4-BE49-F238E27FC236}">
              <a16:creationId xmlns:a16="http://schemas.microsoft.com/office/drawing/2014/main" id="{B4210B05-1343-4D0B-AC1D-748A4CF5E2A8}"/>
            </a:ext>
          </a:extLst>
        </xdr:cNvPr>
        <xdr:cNvGrpSpPr/>
      </xdr:nvGrpSpPr>
      <xdr:grpSpPr>
        <a:xfrm>
          <a:off x="2551043" y="3437282"/>
          <a:ext cx="139135" cy="63445"/>
          <a:chOff x="13302191" y="2320613"/>
          <a:chExt cx="139135" cy="57233"/>
        </a:xfrm>
      </xdr:grpSpPr>
      <xdr:cxnSp macro="">
        <xdr:nvCxnSpPr>
          <xdr:cNvPr id="326" name="Straight Connector 81">
            <a:extLst>
              <a:ext uri="{FF2B5EF4-FFF2-40B4-BE49-F238E27FC236}">
                <a16:creationId xmlns:a16="http://schemas.microsoft.com/office/drawing/2014/main" id="{DC345826-3FC9-DF2E-61E0-7C3C3B3174D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Straight Connector 82">
            <a:extLst>
              <a:ext uri="{FF2B5EF4-FFF2-40B4-BE49-F238E27FC236}">
                <a16:creationId xmlns:a16="http://schemas.microsoft.com/office/drawing/2014/main" id="{EA046EC0-8D3C-9E34-FC24-111F9FC1618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Straight Connector 83">
            <a:extLst>
              <a:ext uri="{FF2B5EF4-FFF2-40B4-BE49-F238E27FC236}">
                <a16:creationId xmlns:a16="http://schemas.microsoft.com/office/drawing/2014/main" id="{7ED7B1A6-041A-B8AD-DD17-DA02E459BF1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Straight Connector 84">
            <a:extLst>
              <a:ext uri="{FF2B5EF4-FFF2-40B4-BE49-F238E27FC236}">
                <a16:creationId xmlns:a16="http://schemas.microsoft.com/office/drawing/2014/main" id="{A82FAD88-3018-1822-F6AA-2D48277C8FD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36444</xdr:colOff>
      <xdr:row>25</xdr:row>
      <xdr:rowOff>69573</xdr:rowOff>
    </xdr:from>
    <xdr:to>
      <xdr:col>6</xdr:col>
      <xdr:colOff>175579</xdr:colOff>
      <xdr:row>25</xdr:row>
      <xdr:rowOff>133018</xdr:rowOff>
    </xdr:to>
    <xdr:grpSp>
      <xdr:nvGrpSpPr>
        <xdr:cNvPr id="330" name="Grup 239">
          <a:extLst>
            <a:ext uri="{FF2B5EF4-FFF2-40B4-BE49-F238E27FC236}">
              <a16:creationId xmlns:a16="http://schemas.microsoft.com/office/drawing/2014/main" id="{55400DCC-5C96-4E58-8D22-EBD57B6CF97C}"/>
            </a:ext>
          </a:extLst>
        </xdr:cNvPr>
        <xdr:cNvGrpSpPr/>
      </xdr:nvGrpSpPr>
      <xdr:grpSpPr>
        <a:xfrm>
          <a:off x="1875183" y="3846443"/>
          <a:ext cx="139135" cy="63445"/>
          <a:chOff x="13302191" y="2320613"/>
          <a:chExt cx="139135" cy="57233"/>
        </a:xfrm>
      </xdr:grpSpPr>
      <xdr:cxnSp macro="">
        <xdr:nvCxnSpPr>
          <xdr:cNvPr id="331" name="Straight Connector 81">
            <a:extLst>
              <a:ext uri="{FF2B5EF4-FFF2-40B4-BE49-F238E27FC236}">
                <a16:creationId xmlns:a16="http://schemas.microsoft.com/office/drawing/2014/main" id="{5587A235-731A-DAEF-7CC4-39B363E3B0C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82">
            <a:extLst>
              <a:ext uri="{FF2B5EF4-FFF2-40B4-BE49-F238E27FC236}">
                <a16:creationId xmlns:a16="http://schemas.microsoft.com/office/drawing/2014/main" id="{1E0354E6-CDCC-A405-DE0C-60D37768547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3" name="Straight Connector 83">
            <a:extLst>
              <a:ext uri="{FF2B5EF4-FFF2-40B4-BE49-F238E27FC236}">
                <a16:creationId xmlns:a16="http://schemas.microsoft.com/office/drawing/2014/main" id="{F19C0168-99BA-B1A4-0308-B0A14FE1F3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4" name="Straight Connector 84">
            <a:extLst>
              <a:ext uri="{FF2B5EF4-FFF2-40B4-BE49-F238E27FC236}">
                <a16:creationId xmlns:a16="http://schemas.microsoft.com/office/drawing/2014/main" id="{FDC09202-659F-1061-7970-28216906FD5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14909</xdr:colOff>
      <xdr:row>28</xdr:row>
      <xdr:rowOff>106017</xdr:rowOff>
    </xdr:from>
    <xdr:to>
      <xdr:col>6</xdr:col>
      <xdr:colOff>154044</xdr:colOff>
      <xdr:row>29</xdr:row>
      <xdr:rowOff>20375</xdr:rowOff>
    </xdr:to>
    <xdr:grpSp>
      <xdr:nvGrpSpPr>
        <xdr:cNvPr id="335" name="Grup 239">
          <a:extLst>
            <a:ext uri="{FF2B5EF4-FFF2-40B4-BE49-F238E27FC236}">
              <a16:creationId xmlns:a16="http://schemas.microsoft.com/office/drawing/2014/main" id="{1026ABA6-5B3D-4767-9EF2-BFE293FBE592}"/>
            </a:ext>
          </a:extLst>
        </xdr:cNvPr>
        <xdr:cNvGrpSpPr/>
      </xdr:nvGrpSpPr>
      <xdr:grpSpPr>
        <a:xfrm>
          <a:off x="1853648" y="4330147"/>
          <a:ext cx="139135" cy="63445"/>
          <a:chOff x="13302191" y="2320613"/>
          <a:chExt cx="139135" cy="57233"/>
        </a:xfrm>
      </xdr:grpSpPr>
      <xdr:cxnSp macro="">
        <xdr:nvCxnSpPr>
          <xdr:cNvPr id="336" name="Straight Connector 81">
            <a:extLst>
              <a:ext uri="{FF2B5EF4-FFF2-40B4-BE49-F238E27FC236}">
                <a16:creationId xmlns:a16="http://schemas.microsoft.com/office/drawing/2014/main" id="{900859A1-B2B1-E823-A163-0D95FF5F765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7" name="Straight Connector 82">
            <a:extLst>
              <a:ext uri="{FF2B5EF4-FFF2-40B4-BE49-F238E27FC236}">
                <a16:creationId xmlns:a16="http://schemas.microsoft.com/office/drawing/2014/main" id="{3F256F0A-1F81-D1F5-549B-2E885D641A8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8" name="Straight Connector 83">
            <a:extLst>
              <a:ext uri="{FF2B5EF4-FFF2-40B4-BE49-F238E27FC236}">
                <a16:creationId xmlns:a16="http://schemas.microsoft.com/office/drawing/2014/main" id="{6085BD8C-AF6C-F36E-29C2-06073FA0BD7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9" name="Straight Connector 84">
            <a:extLst>
              <a:ext uri="{FF2B5EF4-FFF2-40B4-BE49-F238E27FC236}">
                <a16:creationId xmlns:a16="http://schemas.microsoft.com/office/drawing/2014/main" id="{AA5E7455-C9B8-9379-0742-0C33CEEA161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157369</xdr:colOff>
      <xdr:row>10</xdr:row>
      <xdr:rowOff>115957</xdr:rowOff>
    </xdr:from>
    <xdr:to>
      <xdr:col>12</xdr:col>
      <xdr:colOff>301921</xdr:colOff>
      <xdr:row>11</xdr:row>
      <xdr:rowOff>112390</xdr:rowOff>
    </xdr:to>
    <xdr:grpSp>
      <xdr:nvGrpSpPr>
        <xdr:cNvPr id="340" name="Group 13">
          <a:extLst>
            <a:ext uri="{FF2B5EF4-FFF2-40B4-BE49-F238E27FC236}">
              <a16:creationId xmlns:a16="http://schemas.microsoft.com/office/drawing/2014/main" id="{BE92FD21-3AB1-424E-838A-F95716330A37}"/>
            </a:ext>
          </a:extLst>
        </xdr:cNvPr>
        <xdr:cNvGrpSpPr/>
      </xdr:nvGrpSpPr>
      <xdr:grpSpPr>
        <a:xfrm>
          <a:off x="4282108" y="1639957"/>
          <a:ext cx="144552" cy="145520"/>
          <a:chOff x="9937028" y="802652"/>
          <a:chExt cx="83991" cy="77961"/>
        </a:xfrm>
      </xdr:grpSpPr>
      <xdr:sp macro="" textlink="">
        <xdr:nvSpPr>
          <xdr:cNvPr id="341" name="Oval 1">
            <a:extLst>
              <a:ext uri="{FF2B5EF4-FFF2-40B4-BE49-F238E27FC236}">
                <a16:creationId xmlns:a16="http://schemas.microsoft.com/office/drawing/2014/main" id="{4013A597-948F-A803-50A9-82772A85101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2" name="Straight Connector 3">
            <a:extLst>
              <a:ext uri="{FF2B5EF4-FFF2-40B4-BE49-F238E27FC236}">
                <a16:creationId xmlns:a16="http://schemas.microsoft.com/office/drawing/2014/main" id="{672EEF0D-9841-0AAF-5D17-1064D74E8FA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3" name="Straight Connector 7">
            <a:extLst>
              <a:ext uri="{FF2B5EF4-FFF2-40B4-BE49-F238E27FC236}">
                <a16:creationId xmlns:a16="http://schemas.microsoft.com/office/drawing/2014/main" id="{3AFF3049-71E6-AF54-146F-F1ABA727B24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160683</xdr:colOff>
      <xdr:row>7</xdr:row>
      <xdr:rowOff>127552</xdr:rowOff>
    </xdr:from>
    <xdr:to>
      <xdr:col>12</xdr:col>
      <xdr:colOff>305235</xdr:colOff>
      <xdr:row>8</xdr:row>
      <xdr:rowOff>123985</xdr:rowOff>
    </xdr:to>
    <xdr:grpSp>
      <xdr:nvGrpSpPr>
        <xdr:cNvPr id="344" name="Group 13">
          <a:extLst>
            <a:ext uri="{FF2B5EF4-FFF2-40B4-BE49-F238E27FC236}">
              <a16:creationId xmlns:a16="http://schemas.microsoft.com/office/drawing/2014/main" id="{B8CF60B7-B841-41C4-8F03-83361225150C}"/>
            </a:ext>
          </a:extLst>
        </xdr:cNvPr>
        <xdr:cNvGrpSpPr/>
      </xdr:nvGrpSpPr>
      <xdr:grpSpPr>
        <a:xfrm>
          <a:off x="4285422" y="1204291"/>
          <a:ext cx="144552" cy="145520"/>
          <a:chOff x="9937028" y="802652"/>
          <a:chExt cx="83991" cy="77961"/>
        </a:xfrm>
      </xdr:grpSpPr>
      <xdr:sp macro="" textlink="">
        <xdr:nvSpPr>
          <xdr:cNvPr id="345" name="Oval 1">
            <a:extLst>
              <a:ext uri="{FF2B5EF4-FFF2-40B4-BE49-F238E27FC236}">
                <a16:creationId xmlns:a16="http://schemas.microsoft.com/office/drawing/2014/main" id="{98C75F90-43E3-C0BF-8531-F039125659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6" name="Straight Connector 3">
            <a:extLst>
              <a:ext uri="{FF2B5EF4-FFF2-40B4-BE49-F238E27FC236}">
                <a16:creationId xmlns:a16="http://schemas.microsoft.com/office/drawing/2014/main" id="{6A27C760-9E05-BB22-5BA5-BAA24EA21C9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7">
            <a:extLst>
              <a:ext uri="{FF2B5EF4-FFF2-40B4-BE49-F238E27FC236}">
                <a16:creationId xmlns:a16="http://schemas.microsoft.com/office/drawing/2014/main" id="{EFBA1E5D-22C7-5F4E-419C-C08AED2D2CB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172278</xdr:colOff>
      <xdr:row>4</xdr:row>
      <xdr:rowOff>97735</xdr:rowOff>
    </xdr:from>
    <xdr:to>
      <xdr:col>12</xdr:col>
      <xdr:colOff>316830</xdr:colOff>
      <xdr:row>5</xdr:row>
      <xdr:rowOff>94168</xdr:rowOff>
    </xdr:to>
    <xdr:grpSp>
      <xdr:nvGrpSpPr>
        <xdr:cNvPr id="348" name="Group 13">
          <a:extLst>
            <a:ext uri="{FF2B5EF4-FFF2-40B4-BE49-F238E27FC236}">
              <a16:creationId xmlns:a16="http://schemas.microsoft.com/office/drawing/2014/main" id="{8C0348A3-8D17-4696-A684-1F40477D6A28}"/>
            </a:ext>
          </a:extLst>
        </xdr:cNvPr>
        <xdr:cNvGrpSpPr/>
      </xdr:nvGrpSpPr>
      <xdr:grpSpPr>
        <a:xfrm>
          <a:off x="4297017" y="727213"/>
          <a:ext cx="144552" cy="145520"/>
          <a:chOff x="9937028" y="802652"/>
          <a:chExt cx="83991" cy="77961"/>
        </a:xfrm>
      </xdr:grpSpPr>
      <xdr:sp macro="" textlink="">
        <xdr:nvSpPr>
          <xdr:cNvPr id="349" name="Oval 1">
            <a:extLst>
              <a:ext uri="{FF2B5EF4-FFF2-40B4-BE49-F238E27FC236}">
                <a16:creationId xmlns:a16="http://schemas.microsoft.com/office/drawing/2014/main" id="{3AB5C898-C93D-342F-0A65-8403C33695A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50" name="Straight Connector 3">
            <a:extLst>
              <a:ext uri="{FF2B5EF4-FFF2-40B4-BE49-F238E27FC236}">
                <a16:creationId xmlns:a16="http://schemas.microsoft.com/office/drawing/2014/main" id="{3B52AA05-FD10-27EF-B1B4-4C7E6146094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7">
            <a:extLst>
              <a:ext uri="{FF2B5EF4-FFF2-40B4-BE49-F238E27FC236}">
                <a16:creationId xmlns:a16="http://schemas.microsoft.com/office/drawing/2014/main" id="{1FDFBED4-4021-8E62-AF17-467430700E6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0</xdr:colOff>
      <xdr:row>1</xdr:row>
      <xdr:rowOff>115956</xdr:rowOff>
    </xdr:from>
    <xdr:to>
      <xdr:col>19</xdr:col>
      <xdr:colOff>163880</xdr:colOff>
      <xdr:row>4</xdr:row>
      <xdr:rowOff>70814</xdr:rowOff>
    </xdr:to>
    <xdr:sp macro="" textlink="">
      <xdr:nvSpPr>
        <xdr:cNvPr id="354" name="Rectangle 1">
          <a:extLst>
            <a:ext uri="{FF2B5EF4-FFF2-40B4-BE49-F238E27FC236}">
              <a16:creationId xmlns:a16="http://schemas.microsoft.com/office/drawing/2014/main" id="{C3290F0C-5710-4A5E-A1D5-B21241E9EE69}"/>
            </a:ext>
          </a:extLst>
        </xdr:cNvPr>
        <xdr:cNvSpPr/>
      </xdr:nvSpPr>
      <xdr:spPr>
        <a:xfrm rot="16200000">
          <a:off x="6473837" y="218510"/>
          <a:ext cx="418684" cy="54488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223630</xdr:colOff>
      <xdr:row>12</xdr:row>
      <xdr:rowOff>107673</xdr:rowOff>
    </xdr:from>
    <xdr:to>
      <xdr:col>12</xdr:col>
      <xdr:colOff>362765</xdr:colOff>
      <xdr:row>13</xdr:row>
      <xdr:rowOff>5466</xdr:rowOff>
    </xdr:to>
    <xdr:grpSp>
      <xdr:nvGrpSpPr>
        <xdr:cNvPr id="355" name="Grup 239">
          <a:extLst>
            <a:ext uri="{FF2B5EF4-FFF2-40B4-BE49-F238E27FC236}">
              <a16:creationId xmlns:a16="http://schemas.microsoft.com/office/drawing/2014/main" id="{DECC7F3A-3EE8-4BD3-BDA7-8BA4EF17F705}"/>
            </a:ext>
          </a:extLst>
        </xdr:cNvPr>
        <xdr:cNvGrpSpPr/>
      </xdr:nvGrpSpPr>
      <xdr:grpSpPr>
        <a:xfrm>
          <a:off x="4348369" y="1929847"/>
          <a:ext cx="139135" cy="63445"/>
          <a:chOff x="13302191" y="2320613"/>
          <a:chExt cx="139135" cy="57233"/>
        </a:xfrm>
      </xdr:grpSpPr>
      <xdr:cxnSp macro="">
        <xdr:nvCxnSpPr>
          <xdr:cNvPr id="356" name="Straight Connector 81">
            <a:extLst>
              <a:ext uri="{FF2B5EF4-FFF2-40B4-BE49-F238E27FC236}">
                <a16:creationId xmlns:a16="http://schemas.microsoft.com/office/drawing/2014/main" id="{9F8D3052-61B9-5F6D-D806-35237BDC639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82">
            <a:extLst>
              <a:ext uri="{FF2B5EF4-FFF2-40B4-BE49-F238E27FC236}">
                <a16:creationId xmlns:a16="http://schemas.microsoft.com/office/drawing/2014/main" id="{25C2CC3D-ECFC-A5FA-7494-5982FF4C78F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83">
            <a:extLst>
              <a:ext uri="{FF2B5EF4-FFF2-40B4-BE49-F238E27FC236}">
                <a16:creationId xmlns:a16="http://schemas.microsoft.com/office/drawing/2014/main" id="{2665A065-F2A0-F642-8920-A120DDFE868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84">
            <a:extLst>
              <a:ext uri="{FF2B5EF4-FFF2-40B4-BE49-F238E27FC236}">
                <a16:creationId xmlns:a16="http://schemas.microsoft.com/office/drawing/2014/main" id="{7A06D338-1138-142D-BD26-5A79A2306B8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226944</xdr:colOff>
      <xdr:row>9</xdr:row>
      <xdr:rowOff>86139</xdr:rowOff>
    </xdr:from>
    <xdr:to>
      <xdr:col>12</xdr:col>
      <xdr:colOff>366079</xdr:colOff>
      <xdr:row>10</xdr:row>
      <xdr:rowOff>497</xdr:rowOff>
    </xdr:to>
    <xdr:grpSp>
      <xdr:nvGrpSpPr>
        <xdr:cNvPr id="360" name="Grup 239">
          <a:extLst>
            <a:ext uri="{FF2B5EF4-FFF2-40B4-BE49-F238E27FC236}">
              <a16:creationId xmlns:a16="http://schemas.microsoft.com/office/drawing/2014/main" id="{0FDB6E78-6B00-4023-A23A-6A0CCCB4FADC}"/>
            </a:ext>
          </a:extLst>
        </xdr:cNvPr>
        <xdr:cNvGrpSpPr/>
      </xdr:nvGrpSpPr>
      <xdr:grpSpPr>
        <a:xfrm>
          <a:off x="4351683" y="1461052"/>
          <a:ext cx="139135" cy="63445"/>
          <a:chOff x="13302191" y="2320613"/>
          <a:chExt cx="139135" cy="57233"/>
        </a:xfrm>
      </xdr:grpSpPr>
      <xdr:cxnSp macro="">
        <xdr:nvCxnSpPr>
          <xdr:cNvPr id="361" name="Straight Connector 81">
            <a:extLst>
              <a:ext uri="{FF2B5EF4-FFF2-40B4-BE49-F238E27FC236}">
                <a16:creationId xmlns:a16="http://schemas.microsoft.com/office/drawing/2014/main" id="{F0CB4807-FBFF-29E0-783C-F5E3C7AB1F9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82">
            <a:extLst>
              <a:ext uri="{FF2B5EF4-FFF2-40B4-BE49-F238E27FC236}">
                <a16:creationId xmlns:a16="http://schemas.microsoft.com/office/drawing/2014/main" id="{F44ADFC6-8A89-E07C-43A4-DA774F26BDA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83">
            <a:extLst>
              <a:ext uri="{FF2B5EF4-FFF2-40B4-BE49-F238E27FC236}">
                <a16:creationId xmlns:a16="http://schemas.microsoft.com/office/drawing/2014/main" id="{BF001742-6797-6EAE-7130-1DA5E7C1255E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84">
            <a:extLst>
              <a:ext uri="{FF2B5EF4-FFF2-40B4-BE49-F238E27FC236}">
                <a16:creationId xmlns:a16="http://schemas.microsoft.com/office/drawing/2014/main" id="{D58DDDED-7AFE-9612-B649-E39196CABF4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240196</xdr:colOff>
      <xdr:row>6</xdr:row>
      <xdr:rowOff>74544</xdr:rowOff>
    </xdr:from>
    <xdr:to>
      <xdr:col>12</xdr:col>
      <xdr:colOff>379331</xdr:colOff>
      <xdr:row>6</xdr:row>
      <xdr:rowOff>137989</xdr:rowOff>
    </xdr:to>
    <xdr:grpSp>
      <xdr:nvGrpSpPr>
        <xdr:cNvPr id="365" name="Grup 239">
          <a:extLst>
            <a:ext uri="{FF2B5EF4-FFF2-40B4-BE49-F238E27FC236}">
              <a16:creationId xmlns:a16="http://schemas.microsoft.com/office/drawing/2014/main" id="{49D17D58-8C4B-465B-9733-CDBB28B5A8FD}"/>
            </a:ext>
          </a:extLst>
        </xdr:cNvPr>
        <xdr:cNvGrpSpPr/>
      </xdr:nvGrpSpPr>
      <xdr:grpSpPr>
        <a:xfrm>
          <a:off x="4364935" y="1002196"/>
          <a:ext cx="139135" cy="63445"/>
          <a:chOff x="13302191" y="2320613"/>
          <a:chExt cx="139135" cy="57233"/>
        </a:xfrm>
      </xdr:grpSpPr>
      <xdr:cxnSp macro="">
        <xdr:nvCxnSpPr>
          <xdr:cNvPr id="366" name="Straight Connector 81">
            <a:extLst>
              <a:ext uri="{FF2B5EF4-FFF2-40B4-BE49-F238E27FC236}">
                <a16:creationId xmlns:a16="http://schemas.microsoft.com/office/drawing/2014/main" id="{EFAB02A1-7BFD-FB60-4415-CEBDC7667D9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7" name="Straight Connector 82">
            <a:extLst>
              <a:ext uri="{FF2B5EF4-FFF2-40B4-BE49-F238E27FC236}">
                <a16:creationId xmlns:a16="http://schemas.microsoft.com/office/drawing/2014/main" id="{4CB66316-A990-3DC0-BF99-E8C2636AA13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8" name="Straight Connector 83">
            <a:extLst>
              <a:ext uri="{FF2B5EF4-FFF2-40B4-BE49-F238E27FC236}">
                <a16:creationId xmlns:a16="http://schemas.microsoft.com/office/drawing/2014/main" id="{2EC4359A-2219-95A6-DD8F-53EC0CE29D4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9" name="Straight Connector 84">
            <a:extLst>
              <a:ext uri="{FF2B5EF4-FFF2-40B4-BE49-F238E27FC236}">
                <a16:creationId xmlns:a16="http://schemas.microsoft.com/office/drawing/2014/main" id="{665924C2-8288-C249-6112-B886590DCFE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273325</xdr:colOff>
      <xdr:row>31</xdr:row>
      <xdr:rowOff>140804</xdr:rowOff>
    </xdr:from>
    <xdr:to>
      <xdr:col>16</xdr:col>
      <xdr:colOff>91108</xdr:colOff>
      <xdr:row>33</xdr:row>
      <xdr:rowOff>48120</xdr:rowOff>
    </xdr:to>
    <xdr:sp macro="" textlink="">
      <xdr:nvSpPr>
        <xdr:cNvPr id="370" name="TextBox 160">
          <a:extLst>
            <a:ext uri="{FF2B5EF4-FFF2-40B4-BE49-F238E27FC236}">
              <a16:creationId xmlns:a16="http://schemas.microsoft.com/office/drawing/2014/main" id="{E4CCB28B-43D1-45B3-8DA1-0EE315EB12CD}"/>
            </a:ext>
          </a:extLst>
        </xdr:cNvPr>
        <xdr:cNvSpPr txBox="1"/>
      </xdr:nvSpPr>
      <xdr:spPr>
        <a:xfrm>
          <a:off x="5160064" y="4803913"/>
          <a:ext cx="579783" cy="205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chemeClr val="tx1"/>
              </a:solidFill>
              <a:effectLst/>
            </a:rPr>
            <a:t>10</a:t>
          </a:r>
          <a:r>
            <a:rPr lang="xx-YY" sz="800" baseline="0">
              <a:solidFill>
                <a:schemeClr val="tx1"/>
              </a:solidFill>
              <a:effectLst/>
            </a:rPr>
            <a:t>0</a:t>
          </a:r>
          <a:r>
            <a:rPr lang="en-ID" sz="800" baseline="0">
              <a:solidFill>
                <a:schemeClr val="tx1"/>
              </a:solidFill>
              <a:effectLst/>
            </a:rPr>
            <a:t>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16</xdr:col>
      <xdr:colOff>115957</xdr:colOff>
      <xdr:row>3</xdr:row>
      <xdr:rowOff>124238</xdr:rowOff>
    </xdr:from>
    <xdr:to>
      <xdr:col>16</xdr:col>
      <xdr:colOff>260509</xdr:colOff>
      <xdr:row>4</xdr:row>
      <xdr:rowOff>120671</xdr:rowOff>
    </xdr:to>
    <xdr:grpSp>
      <xdr:nvGrpSpPr>
        <xdr:cNvPr id="372" name="Group 13">
          <a:extLst>
            <a:ext uri="{FF2B5EF4-FFF2-40B4-BE49-F238E27FC236}">
              <a16:creationId xmlns:a16="http://schemas.microsoft.com/office/drawing/2014/main" id="{32FE1FC5-3EE6-480A-A96C-2E731092A395}"/>
            </a:ext>
          </a:extLst>
        </xdr:cNvPr>
        <xdr:cNvGrpSpPr/>
      </xdr:nvGrpSpPr>
      <xdr:grpSpPr>
        <a:xfrm>
          <a:off x="5764696" y="604629"/>
          <a:ext cx="144552" cy="145520"/>
          <a:chOff x="9937028" y="802652"/>
          <a:chExt cx="83991" cy="77961"/>
        </a:xfrm>
      </xdr:grpSpPr>
      <xdr:sp macro="" textlink="">
        <xdr:nvSpPr>
          <xdr:cNvPr id="373" name="Oval 1">
            <a:extLst>
              <a:ext uri="{FF2B5EF4-FFF2-40B4-BE49-F238E27FC236}">
                <a16:creationId xmlns:a16="http://schemas.microsoft.com/office/drawing/2014/main" id="{1D683349-011A-99CD-9B61-5EA428B6AF5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4" name="Straight Connector 3">
            <a:extLst>
              <a:ext uri="{FF2B5EF4-FFF2-40B4-BE49-F238E27FC236}">
                <a16:creationId xmlns:a16="http://schemas.microsoft.com/office/drawing/2014/main" id="{98D4B9F4-6FA6-7436-6C12-077B9E82D0C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5" name="Straight Connector 7">
            <a:extLst>
              <a:ext uri="{FF2B5EF4-FFF2-40B4-BE49-F238E27FC236}">
                <a16:creationId xmlns:a16="http://schemas.microsoft.com/office/drawing/2014/main" id="{C4868323-BA5C-7C48-2158-369C44D54ED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293205</xdr:colOff>
      <xdr:row>3</xdr:row>
      <xdr:rowOff>127552</xdr:rowOff>
    </xdr:from>
    <xdr:to>
      <xdr:col>15</xdr:col>
      <xdr:colOff>56757</xdr:colOff>
      <xdr:row>4</xdr:row>
      <xdr:rowOff>123985</xdr:rowOff>
    </xdr:to>
    <xdr:grpSp>
      <xdr:nvGrpSpPr>
        <xdr:cNvPr id="376" name="Group 13">
          <a:extLst>
            <a:ext uri="{FF2B5EF4-FFF2-40B4-BE49-F238E27FC236}">
              <a16:creationId xmlns:a16="http://schemas.microsoft.com/office/drawing/2014/main" id="{C8F67353-E373-462B-ACA2-0708AFD94B8F}"/>
            </a:ext>
          </a:extLst>
        </xdr:cNvPr>
        <xdr:cNvGrpSpPr/>
      </xdr:nvGrpSpPr>
      <xdr:grpSpPr>
        <a:xfrm>
          <a:off x="5179944" y="607943"/>
          <a:ext cx="144552" cy="145520"/>
          <a:chOff x="9937028" y="802652"/>
          <a:chExt cx="83991" cy="77961"/>
        </a:xfrm>
      </xdr:grpSpPr>
      <xdr:sp macro="" textlink="">
        <xdr:nvSpPr>
          <xdr:cNvPr id="377" name="Oval 1">
            <a:extLst>
              <a:ext uri="{FF2B5EF4-FFF2-40B4-BE49-F238E27FC236}">
                <a16:creationId xmlns:a16="http://schemas.microsoft.com/office/drawing/2014/main" id="{A7F31B5F-28F1-3A30-332E-DC7E24D593A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8" name="Straight Connector 3">
            <a:extLst>
              <a:ext uri="{FF2B5EF4-FFF2-40B4-BE49-F238E27FC236}">
                <a16:creationId xmlns:a16="http://schemas.microsoft.com/office/drawing/2014/main" id="{37C1C384-0AD7-3448-2E67-DEC7643AC5A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9" name="Straight Connector 7">
            <a:extLst>
              <a:ext uri="{FF2B5EF4-FFF2-40B4-BE49-F238E27FC236}">
                <a16:creationId xmlns:a16="http://schemas.microsoft.com/office/drawing/2014/main" id="{62AA513F-4E85-1ECC-B20C-EDD434A1A39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248479</xdr:colOff>
      <xdr:row>4</xdr:row>
      <xdr:rowOff>66261</xdr:rowOff>
    </xdr:from>
    <xdr:to>
      <xdr:col>17</xdr:col>
      <xdr:colOff>41413</xdr:colOff>
      <xdr:row>4</xdr:row>
      <xdr:rowOff>77692</xdr:rowOff>
    </xdr:to>
    <xdr:cxnSp macro="">
      <xdr:nvCxnSpPr>
        <xdr:cNvPr id="380" name="Straight Arrow Connector 166">
          <a:extLst>
            <a:ext uri="{FF2B5EF4-FFF2-40B4-BE49-F238E27FC236}">
              <a16:creationId xmlns:a16="http://schemas.microsoft.com/office/drawing/2014/main" id="{35ED3A61-1735-42A8-947C-7ECD3CAACEB4}"/>
            </a:ext>
          </a:extLst>
        </xdr:cNvPr>
        <xdr:cNvCxnSpPr>
          <a:cxnSpLocks/>
        </xdr:cNvCxnSpPr>
      </xdr:nvCxnSpPr>
      <xdr:spPr>
        <a:xfrm flipV="1">
          <a:off x="5897218" y="695739"/>
          <a:ext cx="173934" cy="1143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145407</xdr:colOff>
      <xdr:row>17</xdr:row>
      <xdr:rowOff>4746</xdr:rowOff>
    </xdr:from>
    <xdr:to>
      <xdr:col>12</xdr:col>
      <xdr:colOff>352473</xdr:colOff>
      <xdr:row>20</xdr:row>
      <xdr:rowOff>87572</xdr:rowOff>
    </xdr:to>
    <xdr:cxnSp macro="">
      <xdr:nvCxnSpPr>
        <xdr:cNvPr id="382" name="Straight Connector 139">
          <a:extLst>
            <a:ext uri="{FF2B5EF4-FFF2-40B4-BE49-F238E27FC236}">
              <a16:creationId xmlns:a16="http://schemas.microsoft.com/office/drawing/2014/main" id="{1B33440A-CD09-437D-ABD0-0AD0505AEFEC}"/>
            </a:ext>
          </a:extLst>
        </xdr:cNvPr>
        <xdr:cNvCxnSpPr>
          <a:cxnSpLocks/>
          <a:stCxn id="266" idx="1"/>
          <a:endCxn id="390" idx="1"/>
        </xdr:cNvCxnSpPr>
      </xdr:nvCxnSpPr>
      <xdr:spPr bwMode="auto">
        <a:xfrm flipV="1">
          <a:off x="4270146" y="2588920"/>
          <a:ext cx="207066" cy="53008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339587</xdr:colOff>
      <xdr:row>13</xdr:row>
      <xdr:rowOff>124240</xdr:rowOff>
    </xdr:from>
    <xdr:to>
      <xdr:col>13</xdr:col>
      <xdr:colOff>103139</xdr:colOff>
      <xdr:row>14</xdr:row>
      <xdr:rowOff>120673</xdr:rowOff>
    </xdr:to>
    <xdr:grpSp>
      <xdr:nvGrpSpPr>
        <xdr:cNvPr id="385" name="Group 13">
          <a:extLst>
            <a:ext uri="{FF2B5EF4-FFF2-40B4-BE49-F238E27FC236}">
              <a16:creationId xmlns:a16="http://schemas.microsoft.com/office/drawing/2014/main" id="{730CE849-F03D-4040-91AA-12307B0B4000}"/>
            </a:ext>
          </a:extLst>
        </xdr:cNvPr>
        <xdr:cNvGrpSpPr/>
      </xdr:nvGrpSpPr>
      <xdr:grpSpPr>
        <a:xfrm>
          <a:off x="4464326" y="2112066"/>
          <a:ext cx="144552" cy="145520"/>
          <a:chOff x="9937028" y="802652"/>
          <a:chExt cx="83991" cy="77961"/>
        </a:xfrm>
      </xdr:grpSpPr>
      <xdr:sp macro="" textlink="">
        <xdr:nvSpPr>
          <xdr:cNvPr id="386" name="Oval 1">
            <a:extLst>
              <a:ext uri="{FF2B5EF4-FFF2-40B4-BE49-F238E27FC236}">
                <a16:creationId xmlns:a16="http://schemas.microsoft.com/office/drawing/2014/main" id="{CB30CA5A-83FC-633E-5918-F60E720365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7" name="Straight Connector 3">
            <a:extLst>
              <a:ext uri="{FF2B5EF4-FFF2-40B4-BE49-F238E27FC236}">
                <a16:creationId xmlns:a16="http://schemas.microsoft.com/office/drawing/2014/main" id="{4C17FCC0-5C06-CD96-4CD4-C2E6120EC91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8" name="Straight Connector 7">
            <a:extLst>
              <a:ext uri="{FF2B5EF4-FFF2-40B4-BE49-F238E27FC236}">
                <a16:creationId xmlns:a16="http://schemas.microsoft.com/office/drawing/2014/main" id="{7899B060-06D2-3ECD-80F8-73E42CC5E22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331304</xdr:colOff>
      <xdr:row>16</xdr:row>
      <xdr:rowOff>132522</xdr:rowOff>
    </xdr:from>
    <xdr:to>
      <xdr:col>13</xdr:col>
      <xdr:colOff>94856</xdr:colOff>
      <xdr:row>17</xdr:row>
      <xdr:rowOff>128955</xdr:rowOff>
    </xdr:to>
    <xdr:grpSp>
      <xdr:nvGrpSpPr>
        <xdr:cNvPr id="389" name="Group 13">
          <a:extLst>
            <a:ext uri="{FF2B5EF4-FFF2-40B4-BE49-F238E27FC236}">
              <a16:creationId xmlns:a16="http://schemas.microsoft.com/office/drawing/2014/main" id="{7ADE618B-F43E-424A-B480-023FBEE555DB}"/>
            </a:ext>
          </a:extLst>
        </xdr:cNvPr>
        <xdr:cNvGrpSpPr/>
      </xdr:nvGrpSpPr>
      <xdr:grpSpPr>
        <a:xfrm>
          <a:off x="4456043" y="2567609"/>
          <a:ext cx="144552" cy="145520"/>
          <a:chOff x="9937028" y="802652"/>
          <a:chExt cx="83991" cy="77961"/>
        </a:xfrm>
      </xdr:grpSpPr>
      <xdr:sp macro="" textlink="">
        <xdr:nvSpPr>
          <xdr:cNvPr id="390" name="Oval 1">
            <a:extLst>
              <a:ext uri="{FF2B5EF4-FFF2-40B4-BE49-F238E27FC236}">
                <a16:creationId xmlns:a16="http://schemas.microsoft.com/office/drawing/2014/main" id="{CCC44F57-E053-4D2D-750D-FF275A67DDF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91" name="Straight Connector 3">
            <a:extLst>
              <a:ext uri="{FF2B5EF4-FFF2-40B4-BE49-F238E27FC236}">
                <a16:creationId xmlns:a16="http://schemas.microsoft.com/office/drawing/2014/main" id="{A29E5990-9467-D7F8-46EE-F07CCCF2DB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2" name="Straight Connector 7">
            <a:extLst>
              <a:ext uri="{FF2B5EF4-FFF2-40B4-BE49-F238E27FC236}">
                <a16:creationId xmlns:a16="http://schemas.microsoft.com/office/drawing/2014/main" id="{AC9BC5EB-D0B2-A899-005C-8C7FE1B651B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24848</xdr:colOff>
      <xdr:row>20</xdr:row>
      <xdr:rowOff>139021</xdr:rowOff>
    </xdr:from>
    <xdr:to>
      <xdr:col>12</xdr:col>
      <xdr:colOff>124238</xdr:colOff>
      <xdr:row>23</xdr:row>
      <xdr:rowOff>0</xdr:rowOff>
    </xdr:to>
    <xdr:cxnSp macro="">
      <xdr:nvCxnSpPr>
        <xdr:cNvPr id="396" name="Straight Connector 139">
          <a:extLst>
            <a:ext uri="{FF2B5EF4-FFF2-40B4-BE49-F238E27FC236}">
              <a16:creationId xmlns:a16="http://schemas.microsoft.com/office/drawing/2014/main" id="{B70C96A9-FF7F-4C6D-9F2F-1B5584A4FA6D}"/>
            </a:ext>
          </a:extLst>
        </xdr:cNvPr>
        <xdr:cNvCxnSpPr>
          <a:cxnSpLocks/>
          <a:endCxn id="266" idx="2"/>
        </xdr:cNvCxnSpPr>
      </xdr:nvCxnSpPr>
      <xdr:spPr bwMode="auto">
        <a:xfrm flipV="1">
          <a:off x="4149587" y="3170456"/>
          <a:ext cx="99390" cy="3082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339587</xdr:colOff>
      <xdr:row>14</xdr:row>
      <xdr:rowOff>33131</xdr:rowOff>
    </xdr:from>
    <xdr:to>
      <xdr:col>12</xdr:col>
      <xdr:colOff>339587</xdr:colOff>
      <xdr:row>17</xdr:row>
      <xdr:rowOff>34914</xdr:rowOff>
    </xdr:to>
    <xdr:cxnSp macro="">
      <xdr:nvCxnSpPr>
        <xdr:cNvPr id="398" name="Straight Connector 139">
          <a:extLst>
            <a:ext uri="{FF2B5EF4-FFF2-40B4-BE49-F238E27FC236}">
              <a16:creationId xmlns:a16="http://schemas.microsoft.com/office/drawing/2014/main" id="{58010061-F29D-46A8-B39E-1B8DA921430E}"/>
            </a:ext>
          </a:extLst>
        </xdr:cNvPr>
        <xdr:cNvCxnSpPr>
          <a:cxnSpLocks/>
        </xdr:cNvCxnSpPr>
      </xdr:nvCxnSpPr>
      <xdr:spPr bwMode="auto">
        <a:xfrm flipV="1">
          <a:off x="4464326" y="2170044"/>
          <a:ext cx="0" cy="44904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178538</xdr:colOff>
      <xdr:row>11</xdr:row>
      <xdr:rowOff>91079</xdr:rowOff>
    </xdr:from>
    <xdr:to>
      <xdr:col>12</xdr:col>
      <xdr:colOff>339587</xdr:colOff>
      <xdr:row>14</xdr:row>
      <xdr:rowOff>47913</xdr:rowOff>
    </xdr:to>
    <xdr:cxnSp macro="">
      <xdr:nvCxnSpPr>
        <xdr:cNvPr id="400" name="Straight Connector 139">
          <a:extLst>
            <a:ext uri="{FF2B5EF4-FFF2-40B4-BE49-F238E27FC236}">
              <a16:creationId xmlns:a16="http://schemas.microsoft.com/office/drawing/2014/main" id="{B12CC9F6-9D13-491B-A656-C40ABBECFC2B}"/>
            </a:ext>
          </a:extLst>
        </xdr:cNvPr>
        <xdr:cNvCxnSpPr>
          <a:cxnSpLocks/>
          <a:stCxn id="386" idx="2"/>
          <a:endCxn id="341" idx="3"/>
        </xdr:cNvCxnSpPr>
      </xdr:nvCxnSpPr>
      <xdr:spPr bwMode="auto">
        <a:xfrm flipH="1" flipV="1">
          <a:off x="4303277" y="1764166"/>
          <a:ext cx="161049" cy="4206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157369</xdr:colOff>
      <xdr:row>5</xdr:row>
      <xdr:rowOff>21408</xdr:rowOff>
    </xdr:from>
    <xdr:to>
      <xdr:col>12</xdr:col>
      <xdr:colOff>172278</xdr:colOff>
      <xdr:row>11</xdr:row>
      <xdr:rowOff>39630</xdr:rowOff>
    </xdr:to>
    <xdr:cxnSp macro="">
      <xdr:nvCxnSpPr>
        <xdr:cNvPr id="404" name="Straight Connector 139">
          <a:extLst>
            <a:ext uri="{FF2B5EF4-FFF2-40B4-BE49-F238E27FC236}">
              <a16:creationId xmlns:a16="http://schemas.microsoft.com/office/drawing/2014/main" id="{036B883B-B686-4EE3-B0F8-CC28BDADDF3B}"/>
            </a:ext>
          </a:extLst>
        </xdr:cNvPr>
        <xdr:cNvCxnSpPr>
          <a:cxnSpLocks/>
          <a:stCxn id="341" idx="2"/>
          <a:endCxn id="349" idx="2"/>
        </xdr:cNvCxnSpPr>
      </xdr:nvCxnSpPr>
      <xdr:spPr bwMode="auto">
        <a:xfrm flipV="1">
          <a:off x="4282108" y="799973"/>
          <a:ext cx="14909" cy="91274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246822</xdr:colOff>
      <xdr:row>4</xdr:row>
      <xdr:rowOff>51225</xdr:rowOff>
    </xdr:from>
    <xdr:to>
      <xdr:col>15</xdr:col>
      <xdr:colOff>56757</xdr:colOff>
      <xdr:row>4</xdr:row>
      <xdr:rowOff>99392</xdr:rowOff>
    </xdr:to>
    <xdr:cxnSp macro="">
      <xdr:nvCxnSpPr>
        <xdr:cNvPr id="407" name="Straight Connector 139">
          <a:extLst>
            <a:ext uri="{FF2B5EF4-FFF2-40B4-BE49-F238E27FC236}">
              <a16:creationId xmlns:a16="http://schemas.microsoft.com/office/drawing/2014/main" id="{A30D13CB-2C7D-4539-BAE9-B57DA3C743F0}"/>
            </a:ext>
          </a:extLst>
        </xdr:cNvPr>
        <xdr:cNvCxnSpPr>
          <a:cxnSpLocks/>
          <a:stCxn id="377" idx="6"/>
        </xdr:cNvCxnSpPr>
      </xdr:nvCxnSpPr>
      <xdr:spPr bwMode="auto">
        <a:xfrm flipH="1">
          <a:off x="4371561" y="680703"/>
          <a:ext cx="952935" cy="4816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56757</xdr:colOff>
      <xdr:row>4</xdr:row>
      <xdr:rowOff>47911</xdr:rowOff>
    </xdr:from>
    <xdr:to>
      <xdr:col>16</xdr:col>
      <xdr:colOff>115957</xdr:colOff>
      <xdr:row>4</xdr:row>
      <xdr:rowOff>51225</xdr:rowOff>
    </xdr:to>
    <xdr:cxnSp macro="">
      <xdr:nvCxnSpPr>
        <xdr:cNvPr id="410" name="Straight Connector 139">
          <a:extLst>
            <a:ext uri="{FF2B5EF4-FFF2-40B4-BE49-F238E27FC236}">
              <a16:creationId xmlns:a16="http://schemas.microsoft.com/office/drawing/2014/main" id="{9AEB61B8-12A4-4B44-AAC5-AC2E297BD82E}"/>
            </a:ext>
          </a:extLst>
        </xdr:cNvPr>
        <xdr:cNvCxnSpPr>
          <a:cxnSpLocks/>
          <a:stCxn id="373" idx="2"/>
          <a:endCxn id="377" idx="6"/>
        </xdr:cNvCxnSpPr>
      </xdr:nvCxnSpPr>
      <xdr:spPr bwMode="auto">
        <a:xfrm flipH="1">
          <a:off x="5324496" y="677389"/>
          <a:ext cx="440200" cy="331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265043</xdr:colOff>
      <xdr:row>17</xdr:row>
      <xdr:rowOff>56195</xdr:rowOff>
    </xdr:from>
    <xdr:to>
      <xdr:col>13</xdr:col>
      <xdr:colOff>94856</xdr:colOff>
      <xdr:row>20</xdr:row>
      <xdr:rowOff>115956</xdr:rowOff>
    </xdr:to>
    <xdr:cxnSp macro="">
      <xdr:nvCxnSpPr>
        <xdr:cNvPr id="413" name="Straight Connector 139">
          <a:extLst>
            <a:ext uri="{FF2B5EF4-FFF2-40B4-BE49-F238E27FC236}">
              <a16:creationId xmlns:a16="http://schemas.microsoft.com/office/drawing/2014/main" id="{A0125E7C-9D84-469B-8E80-039147BE9FC4}"/>
            </a:ext>
          </a:extLst>
        </xdr:cNvPr>
        <xdr:cNvCxnSpPr>
          <a:cxnSpLocks/>
          <a:endCxn id="390" idx="6"/>
        </xdr:cNvCxnSpPr>
      </xdr:nvCxnSpPr>
      <xdr:spPr bwMode="auto">
        <a:xfrm flipV="1">
          <a:off x="4389782" y="2640369"/>
          <a:ext cx="210813" cy="50702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94856</xdr:colOff>
      <xdr:row>14</xdr:row>
      <xdr:rowOff>47913</xdr:rowOff>
    </xdr:from>
    <xdr:to>
      <xdr:col>13</xdr:col>
      <xdr:colOff>103139</xdr:colOff>
      <xdr:row>17</xdr:row>
      <xdr:rowOff>56195</xdr:rowOff>
    </xdr:to>
    <xdr:cxnSp macro="">
      <xdr:nvCxnSpPr>
        <xdr:cNvPr id="415" name="Straight Connector 139">
          <a:extLst>
            <a:ext uri="{FF2B5EF4-FFF2-40B4-BE49-F238E27FC236}">
              <a16:creationId xmlns:a16="http://schemas.microsoft.com/office/drawing/2014/main" id="{5C8CCD6E-49AF-4D55-9A94-FAED5F98BA88}"/>
            </a:ext>
          </a:extLst>
        </xdr:cNvPr>
        <xdr:cNvCxnSpPr>
          <a:cxnSpLocks/>
          <a:stCxn id="390" idx="6"/>
          <a:endCxn id="386" idx="6"/>
        </xdr:cNvCxnSpPr>
      </xdr:nvCxnSpPr>
      <xdr:spPr bwMode="auto">
        <a:xfrm flipV="1">
          <a:off x="4600595" y="2184826"/>
          <a:ext cx="8283" cy="45554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301921</xdr:colOff>
      <xdr:row>11</xdr:row>
      <xdr:rowOff>39630</xdr:rowOff>
    </xdr:from>
    <xdr:to>
      <xdr:col>13</xdr:col>
      <xdr:colOff>99392</xdr:colOff>
      <xdr:row>14</xdr:row>
      <xdr:rowOff>33131</xdr:rowOff>
    </xdr:to>
    <xdr:cxnSp macro="">
      <xdr:nvCxnSpPr>
        <xdr:cNvPr id="420" name="Straight Connector 139">
          <a:extLst>
            <a:ext uri="{FF2B5EF4-FFF2-40B4-BE49-F238E27FC236}">
              <a16:creationId xmlns:a16="http://schemas.microsoft.com/office/drawing/2014/main" id="{BC68A546-395E-4109-9776-91E32063D1E0}"/>
            </a:ext>
          </a:extLst>
        </xdr:cNvPr>
        <xdr:cNvCxnSpPr>
          <a:cxnSpLocks/>
          <a:endCxn id="341" idx="6"/>
        </xdr:cNvCxnSpPr>
      </xdr:nvCxnSpPr>
      <xdr:spPr bwMode="auto">
        <a:xfrm flipH="1" flipV="1">
          <a:off x="4426660" y="1712717"/>
          <a:ext cx="178471" cy="45732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74544</xdr:colOff>
      <xdr:row>16</xdr:row>
      <xdr:rowOff>66261</xdr:rowOff>
    </xdr:from>
    <xdr:to>
      <xdr:col>12</xdr:col>
      <xdr:colOff>298174</xdr:colOff>
      <xdr:row>17</xdr:row>
      <xdr:rowOff>140804</xdr:rowOff>
    </xdr:to>
    <xdr:cxnSp macro="">
      <xdr:nvCxnSpPr>
        <xdr:cNvPr id="422" name="Straight Connector 140">
          <a:extLst>
            <a:ext uri="{FF2B5EF4-FFF2-40B4-BE49-F238E27FC236}">
              <a16:creationId xmlns:a16="http://schemas.microsoft.com/office/drawing/2014/main" id="{29646A7D-66CD-44CA-A8D5-83C22DD332E9}"/>
            </a:ext>
          </a:extLst>
        </xdr:cNvPr>
        <xdr:cNvCxnSpPr>
          <a:cxnSpLocks/>
        </xdr:cNvCxnSpPr>
      </xdr:nvCxnSpPr>
      <xdr:spPr bwMode="auto">
        <a:xfrm flipH="1">
          <a:off x="4199283" y="2501348"/>
          <a:ext cx="223630" cy="2236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91109</xdr:colOff>
      <xdr:row>16</xdr:row>
      <xdr:rowOff>49695</xdr:rowOff>
    </xdr:from>
    <xdr:to>
      <xdr:col>12</xdr:col>
      <xdr:colOff>256762</xdr:colOff>
      <xdr:row>17</xdr:row>
      <xdr:rowOff>124239</xdr:rowOff>
    </xdr:to>
    <xdr:cxnSp macro="">
      <xdr:nvCxnSpPr>
        <xdr:cNvPr id="426" name="Straight Connector 140">
          <a:extLst>
            <a:ext uri="{FF2B5EF4-FFF2-40B4-BE49-F238E27FC236}">
              <a16:creationId xmlns:a16="http://schemas.microsoft.com/office/drawing/2014/main" id="{44C95DD0-68A3-4659-8892-0F9DF6DF1D83}"/>
            </a:ext>
          </a:extLst>
        </xdr:cNvPr>
        <xdr:cNvCxnSpPr>
          <a:cxnSpLocks/>
        </xdr:cNvCxnSpPr>
      </xdr:nvCxnSpPr>
      <xdr:spPr bwMode="auto">
        <a:xfrm>
          <a:off x="4215848" y="2484782"/>
          <a:ext cx="165653" cy="22363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132522</xdr:colOff>
      <xdr:row>13</xdr:row>
      <xdr:rowOff>8283</xdr:rowOff>
    </xdr:from>
    <xdr:to>
      <xdr:col>12</xdr:col>
      <xdr:colOff>306457</xdr:colOff>
      <xdr:row>15</xdr:row>
      <xdr:rowOff>8283</xdr:rowOff>
    </xdr:to>
    <xdr:cxnSp macro="">
      <xdr:nvCxnSpPr>
        <xdr:cNvPr id="428" name="Straight Connector 140">
          <a:extLst>
            <a:ext uri="{FF2B5EF4-FFF2-40B4-BE49-F238E27FC236}">
              <a16:creationId xmlns:a16="http://schemas.microsoft.com/office/drawing/2014/main" id="{4B2673C7-15B4-42E0-B309-B1066CDEFF6B}"/>
            </a:ext>
          </a:extLst>
        </xdr:cNvPr>
        <xdr:cNvCxnSpPr>
          <a:cxnSpLocks/>
        </xdr:cNvCxnSpPr>
      </xdr:nvCxnSpPr>
      <xdr:spPr bwMode="auto">
        <a:xfrm flipH="1" flipV="1">
          <a:off x="4257261" y="1996109"/>
          <a:ext cx="173935" cy="2981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74544</xdr:colOff>
      <xdr:row>13</xdr:row>
      <xdr:rowOff>115957</xdr:rowOff>
    </xdr:from>
    <xdr:to>
      <xdr:col>12</xdr:col>
      <xdr:colOff>298174</xdr:colOff>
      <xdr:row>15</xdr:row>
      <xdr:rowOff>41413</xdr:rowOff>
    </xdr:to>
    <xdr:cxnSp macro="">
      <xdr:nvCxnSpPr>
        <xdr:cNvPr id="431" name="Straight Connector 140">
          <a:extLst>
            <a:ext uri="{FF2B5EF4-FFF2-40B4-BE49-F238E27FC236}">
              <a16:creationId xmlns:a16="http://schemas.microsoft.com/office/drawing/2014/main" id="{6E474BDD-9DCF-4BBA-A82A-8E337F3374C5}"/>
            </a:ext>
          </a:extLst>
        </xdr:cNvPr>
        <xdr:cNvCxnSpPr>
          <a:cxnSpLocks/>
        </xdr:cNvCxnSpPr>
      </xdr:nvCxnSpPr>
      <xdr:spPr bwMode="auto">
        <a:xfrm flipH="1">
          <a:off x="4199283" y="2103783"/>
          <a:ext cx="223630" cy="2236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8283</xdr:colOff>
      <xdr:row>21</xdr:row>
      <xdr:rowOff>99391</xdr:rowOff>
    </xdr:from>
    <xdr:to>
      <xdr:col>12</xdr:col>
      <xdr:colOff>147418</xdr:colOff>
      <xdr:row>22</xdr:row>
      <xdr:rowOff>13749</xdr:rowOff>
    </xdr:to>
    <xdr:grpSp>
      <xdr:nvGrpSpPr>
        <xdr:cNvPr id="432" name="Grup 239">
          <a:extLst>
            <a:ext uri="{FF2B5EF4-FFF2-40B4-BE49-F238E27FC236}">
              <a16:creationId xmlns:a16="http://schemas.microsoft.com/office/drawing/2014/main" id="{05663E7C-02B3-417D-8E2D-4948A922D8C7}"/>
            </a:ext>
          </a:extLst>
        </xdr:cNvPr>
        <xdr:cNvGrpSpPr/>
      </xdr:nvGrpSpPr>
      <xdr:grpSpPr>
        <a:xfrm>
          <a:off x="4133022" y="3279913"/>
          <a:ext cx="139135" cy="63445"/>
          <a:chOff x="13302191" y="2320613"/>
          <a:chExt cx="139135" cy="57233"/>
        </a:xfrm>
      </xdr:grpSpPr>
      <xdr:cxnSp macro="">
        <xdr:nvCxnSpPr>
          <xdr:cNvPr id="433" name="Straight Connector 81">
            <a:extLst>
              <a:ext uri="{FF2B5EF4-FFF2-40B4-BE49-F238E27FC236}">
                <a16:creationId xmlns:a16="http://schemas.microsoft.com/office/drawing/2014/main" id="{AFA8ED72-E3E4-ABBA-ACCB-8DB8042832C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4" name="Straight Connector 82">
            <a:extLst>
              <a:ext uri="{FF2B5EF4-FFF2-40B4-BE49-F238E27FC236}">
                <a16:creationId xmlns:a16="http://schemas.microsoft.com/office/drawing/2014/main" id="{68789F70-B206-5D05-4105-C3FECC51CEA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5" name="Straight Connector 83">
            <a:extLst>
              <a:ext uri="{FF2B5EF4-FFF2-40B4-BE49-F238E27FC236}">
                <a16:creationId xmlns:a16="http://schemas.microsoft.com/office/drawing/2014/main" id="{9748F799-6272-38DA-5BCC-4754954CD14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6" name="Straight Connector 84">
            <a:extLst>
              <a:ext uri="{FF2B5EF4-FFF2-40B4-BE49-F238E27FC236}">
                <a16:creationId xmlns:a16="http://schemas.microsoft.com/office/drawing/2014/main" id="{3C7DF54E-723D-EABB-B3B0-5FA7C51E572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265044</xdr:colOff>
      <xdr:row>19</xdr:row>
      <xdr:rowOff>57978</xdr:rowOff>
    </xdr:from>
    <xdr:to>
      <xdr:col>13</xdr:col>
      <xdr:colOff>23179</xdr:colOff>
      <xdr:row>19</xdr:row>
      <xdr:rowOff>121423</xdr:rowOff>
    </xdr:to>
    <xdr:grpSp>
      <xdr:nvGrpSpPr>
        <xdr:cNvPr id="437" name="Grup 239">
          <a:extLst>
            <a:ext uri="{FF2B5EF4-FFF2-40B4-BE49-F238E27FC236}">
              <a16:creationId xmlns:a16="http://schemas.microsoft.com/office/drawing/2014/main" id="{13832CE8-7F6E-4E62-AC18-3697CCA90C02}"/>
            </a:ext>
          </a:extLst>
        </xdr:cNvPr>
        <xdr:cNvGrpSpPr/>
      </xdr:nvGrpSpPr>
      <xdr:grpSpPr>
        <a:xfrm>
          <a:off x="4389783" y="2940326"/>
          <a:ext cx="139135" cy="63445"/>
          <a:chOff x="13302191" y="2320613"/>
          <a:chExt cx="139135" cy="57233"/>
        </a:xfrm>
      </xdr:grpSpPr>
      <xdr:cxnSp macro="">
        <xdr:nvCxnSpPr>
          <xdr:cNvPr id="438" name="Straight Connector 81">
            <a:extLst>
              <a:ext uri="{FF2B5EF4-FFF2-40B4-BE49-F238E27FC236}">
                <a16:creationId xmlns:a16="http://schemas.microsoft.com/office/drawing/2014/main" id="{D7D491BF-28E2-4CC4-FEC2-C104C90AAF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9" name="Straight Connector 82">
            <a:extLst>
              <a:ext uri="{FF2B5EF4-FFF2-40B4-BE49-F238E27FC236}">
                <a16:creationId xmlns:a16="http://schemas.microsoft.com/office/drawing/2014/main" id="{8D214E3E-37C9-6A37-41D4-A8DFC4834A1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0" name="Straight Connector 83">
            <a:extLst>
              <a:ext uri="{FF2B5EF4-FFF2-40B4-BE49-F238E27FC236}">
                <a16:creationId xmlns:a16="http://schemas.microsoft.com/office/drawing/2014/main" id="{AA124B50-C4FA-F791-2369-1826E3FE349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1" name="Straight Connector 84">
            <a:extLst>
              <a:ext uri="{FF2B5EF4-FFF2-40B4-BE49-F238E27FC236}">
                <a16:creationId xmlns:a16="http://schemas.microsoft.com/office/drawing/2014/main" id="{04F64252-1421-E0D5-BD25-AF88162EB20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110987</xdr:colOff>
      <xdr:row>19</xdr:row>
      <xdr:rowOff>77856</xdr:rowOff>
    </xdr:from>
    <xdr:to>
      <xdr:col>12</xdr:col>
      <xdr:colOff>250122</xdr:colOff>
      <xdr:row>19</xdr:row>
      <xdr:rowOff>141301</xdr:rowOff>
    </xdr:to>
    <xdr:grpSp>
      <xdr:nvGrpSpPr>
        <xdr:cNvPr id="442" name="Grup 239">
          <a:extLst>
            <a:ext uri="{FF2B5EF4-FFF2-40B4-BE49-F238E27FC236}">
              <a16:creationId xmlns:a16="http://schemas.microsoft.com/office/drawing/2014/main" id="{7C39ED3A-9614-45FB-AEBC-DBEF2A698803}"/>
            </a:ext>
          </a:extLst>
        </xdr:cNvPr>
        <xdr:cNvGrpSpPr/>
      </xdr:nvGrpSpPr>
      <xdr:grpSpPr>
        <a:xfrm>
          <a:off x="4235726" y="2960204"/>
          <a:ext cx="139135" cy="63445"/>
          <a:chOff x="13302191" y="2320613"/>
          <a:chExt cx="139135" cy="57233"/>
        </a:xfrm>
      </xdr:grpSpPr>
      <xdr:cxnSp macro="">
        <xdr:nvCxnSpPr>
          <xdr:cNvPr id="443" name="Straight Connector 81">
            <a:extLst>
              <a:ext uri="{FF2B5EF4-FFF2-40B4-BE49-F238E27FC236}">
                <a16:creationId xmlns:a16="http://schemas.microsoft.com/office/drawing/2014/main" id="{16B5407A-6441-A0F0-D026-86196B9754C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Connector 82">
            <a:extLst>
              <a:ext uri="{FF2B5EF4-FFF2-40B4-BE49-F238E27FC236}">
                <a16:creationId xmlns:a16="http://schemas.microsoft.com/office/drawing/2014/main" id="{962E133B-9AC0-A7A0-CB89-3F220C04275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Connector 83">
            <a:extLst>
              <a:ext uri="{FF2B5EF4-FFF2-40B4-BE49-F238E27FC236}">
                <a16:creationId xmlns:a16="http://schemas.microsoft.com/office/drawing/2014/main" id="{36AC9D36-D45C-CB30-E2DE-319586EAD07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6" name="Straight Connector 84">
            <a:extLst>
              <a:ext uri="{FF2B5EF4-FFF2-40B4-BE49-F238E27FC236}">
                <a16:creationId xmlns:a16="http://schemas.microsoft.com/office/drawing/2014/main" id="{95F38A94-7AA1-E938-2FF3-8CF0A05C371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23191</xdr:colOff>
      <xdr:row>15</xdr:row>
      <xdr:rowOff>64604</xdr:rowOff>
    </xdr:from>
    <xdr:to>
      <xdr:col>13</xdr:col>
      <xdr:colOff>162326</xdr:colOff>
      <xdr:row>15</xdr:row>
      <xdr:rowOff>128049</xdr:rowOff>
    </xdr:to>
    <xdr:grpSp>
      <xdr:nvGrpSpPr>
        <xdr:cNvPr id="447" name="Grup 239">
          <a:extLst>
            <a:ext uri="{FF2B5EF4-FFF2-40B4-BE49-F238E27FC236}">
              <a16:creationId xmlns:a16="http://schemas.microsoft.com/office/drawing/2014/main" id="{DBFFF744-2171-4B49-BBD0-8AF2C66483D8}"/>
            </a:ext>
          </a:extLst>
        </xdr:cNvPr>
        <xdr:cNvGrpSpPr/>
      </xdr:nvGrpSpPr>
      <xdr:grpSpPr>
        <a:xfrm>
          <a:off x="4528930" y="2350604"/>
          <a:ext cx="139135" cy="63445"/>
          <a:chOff x="13302191" y="2320613"/>
          <a:chExt cx="139135" cy="57233"/>
        </a:xfrm>
      </xdr:grpSpPr>
      <xdr:cxnSp macro="">
        <xdr:nvCxnSpPr>
          <xdr:cNvPr id="448" name="Straight Connector 81">
            <a:extLst>
              <a:ext uri="{FF2B5EF4-FFF2-40B4-BE49-F238E27FC236}">
                <a16:creationId xmlns:a16="http://schemas.microsoft.com/office/drawing/2014/main" id="{F509927E-6973-D095-BB36-5A620A7EA4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Connector 82">
            <a:extLst>
              <a:ext uri="{FF2B5EF4-FFF2-40B4-BE49-F238E27FC236}">
                <a16:creationId xmlns:a16="http://schemas.microsoft.com/office/drawing/2014/main" id="{3F1F0339-2634-CA42-6103-C9091D95955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Straight Connector 83">
            <a:extLst>
              <a:ext uri="{FF2B5EF4-FFF2-40B4-BE49-F238E27FC236}">
                <a16:creationId xmlns:a16="http://schemas.microsoft.com/office/drawing/2014/main" id="{4C6005AB-10B5-230D-3582-01DC1A466C4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84">
            <a:extLst>
              <a:ext uri="{FF2B5EF4-FFF2-40B4-BE49-F238E27FC236}">
                <a16:creationId xmlns:a16="http://schemas.microsoft.com/office/drawing/2014/main" id="{4C1D7EAE-F1AE-5CCB-066F-2708F8FF162F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274983</xdr:colOff>
      <xdr:row>16</xdr:row>
      <xdr:rowOff>9939</xdr:rowOff>
    </xdr:from>
    <xdr:to>
      <xdr:col>13</xdr:col>
      <xdr:colOff>33118</xdr:colOff>
      <xdr:row>16</xdr:row>
      <xdr:rowOff>73384</xdr:rowOff>
    </xdr:to>
    <xdr:grpSp>
      <xdr:nvGrpSpPr>
        <xdr:cNvPr id="452" name="Grup 239">
          <a:extLst>
            <a:ext uri="{FF2B5EF4-FFF2-40B4-BE49-F238E27FC236}">
              <a16:creationId xmlns:a16="http://schemas.microsoft.com/office/drawing/2014/main" id="{72197360-2102-45D4-A121-7B3B0870F9DE}"/>
            </a:ext>
          </a:extLst>
        </xdr:cNvPr>
        <xdr:cNvGrpSpPr/>
      </xdr:nvGrpSpPr>
      <xdr:grpSpPr>
        <a:xfrm>
          <a:off x="4399722" y="2445026"/>
          <a:ext cx="139135" cy="63445"/>
          <a:chOff x="13302191" y="2320613"/>
          <a:chExt cx="139135" cy="57233"/>
        </a:xfrm>
      </xdr:grpSpPr>
      <xdr:cxnSp macro="">
        <xdr:nvCxnSpPr>
          <xdr:cNvPr id="453" name="Straight Connector 81">
            <a:extLst>
              <a:ext uri="{FF2B5EF4-FFF2-40B4-BE49-F238E27FC236}">
                <a16:creationId xmlns:a16="http://schemas.microsoft.com/office/drawing/2014/main" id="{938EC4D9-D323-A442-1D0D-29B437E17DA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4" name="Straight Connector 82">
            <a:extLst>
              <a:ext uri="{FF2B5EF4-FFF2-40B4-BE49-F238E27FC236}">
                <a16:creationId xmlns:a16="http://schemas.microsoft.com/office/drawing/2014/main" id="{F69E8BAE-4BDA-0659-50F4-8D2F4184136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5" name="Straight Connector 83">
            <a:extLst>
              <a:ext uri="{FF2B5EF4-FFF2-40B4-BE49-F238E27FC236}">
                <a16:creationId xmlns:a16="http://schemas.microsoft.com/office/drawing/2014/main" id="{5BB3648C-350A-F902-012C-2CBB6185B88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Straight Connector 84">
            <a:extLst>
              <a:ext uri="{FF2B5EF4-FFF2-40B4-BE49-F238E27FC236}">
                <a16:creationId xmlns:a16="http://schemas.microsoft.com/office/drawing/2014/main" id="{321BD96C-9BA2-0389-F55D-DDB9BD66AEA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361121</xdr:colOff>
      <xdr:row>12</xdr:row>
      <xdr:rowOff>137491</xdr:rowOff>
    </xdr:from>
    <xdr:to>
      <xdr:col>13</xdr:col>
      <xdr:colOff>119256</xdr:colOff>
      <xdr:row>13</xdr:row>
      <xdr:rowOff>35284</xdr:rowOff>
    </xdr:to>
    <xdr:grpSp>
      <xdr:nvGrpSpPr>
        <xdr:cNvPr id="457" name="Grup 239">
          <a:extLst>
            <a:ext uri="{FF2B5EF4-FFF2-40B4-BE49-F238E27FC236}">
              <a16:creationId xmlns:a16="http://schemas.microsoft.com/office/drawing/2014/main" id="{D1F868FB-3B5E-4F76-9D14-3D3CB3F3E693}"/>
            </a:ext>
          </a:extLst>
        </xdr:cNvPr>
        <xdr:cNvGrpSpPr/>
      </xdr:nvGrpSpPr>
      <xdr:grpSpPr>
        <a:xfrm>
          <a:off x="4485860" y="1959665"/>
          <a:ext cx="139135" cy="63445"/>
          <a:chOff x="13302191" y="2320613"/>
          <a:chExt cx="139135" cy="57233"/>
        </a:xfrm>
      </xdr:grpSpPr>
      <xdr:cxnSp macro="">
        <xdr:nvCxnSpPr>
          <xdr:cNvPr id="458" name="Straight Connector 81">
            <a:extLst>
              <a:ext uri="{FF2B5EF4-FFF2-40B4-BE49-F238E27FC236}">
                <a16:creationId xmlns:a16="http://schemas.microsoft.com/office/drawing/2014/main" id="{92A5CBCE-7A55-332F-8072-42632B89159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82">
            <a:extLst>
              <a:ext uri="{FF2B5EF4-FFF2-40B4-BE49-F238E27FC236}">
                <a16:creationId xmlns:a16="http://schemas.microsoft.com/office/drawing/2014/main" id="{292AC7CD-92EB-2B3D-A3A8-27EAEC369B0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0" name="Straight Connector 83">
            <a:extLst>
              <a:ext uri="{FF2B5EF4-FFF2-40B4-BE49-F238E27FC236}">
                <a16:creationId xmlns:a16="http://schemas.microsoft.com/office/drawing/2014/main" id="{78B64F5A-0D6D-DCF5-DCEB-3F8614BFFF1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1" name="Straight Connector 84">
            <a:extLst>
              <a:ext uri="{FF2B5EF4-FFF2-40B4-BE49-F238E27FC236}">
                <a16:creationId xmlns:a16="http://schemas.microsoft.com/office/drawing/2014/main" id="{DC52C16C-7C57-D2DD-F1F4-64BA2FB7847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157369</xdr:colOff>
      <xdr:row>12</xdr:row>
      <xdr:rowOff>24848</xdr:rowOff>
    </xdr:from>
    <xdr:to>
      <xdr:col>12</xdr:col>
      <xdr:colOff>296504</xdr:colOff>
      <xdr:row>12</xdr:row>
      <xdr:rowOff>88293</xdr:rowOff>
    </xdr:to>
    <xdr:grpSp>
      <xdr:nvGrpSpPr>
        <xdr:cNvPr id="462" name="Grup 239">
          <a:extLst>
            <a:ext uri="{FF2B5EF4-FFF2-40B4-BE49-F238E27FC236}">
              <a16:creationId xmlns:a16="http://schemas.microsoft.com/office/drawing/2014/main" id="{666092DB-F240-490B-8F7C-B57198F7C51F}"/>
            </a:ext>
          </a:extLst>
        </xdr:cNvPr>
        <xdr:cNvGrpSpPr/>
      </xdr:nvGrpSpPr>
      <xdr:grpSpPr>
        <a:xfrm>
          <a:off x="4282108" y="1847022"/>
          <a:ext cx="139135" cy="63445"/>
          <a:chOff x="13302191" y="2320613"/>
          <a:chExt cx="139135" cy="57233"/>
        </a:xfrm>
      </xdr:grpSpPr>
      <xdr:cxnSp macro="">
        <xdr:nvCxnSpPr>
          <xdr:cNvPr id="463" name="Straight Connector 81">
            <a:extLst>
              <a:ext uri="{FF2B5EF4-FFF2-40B4-BE49-F238E27FC236}">
                <a16:creationId xmlns:a16="http://schemas.microsoft.com/office/drawing/2014/main" id="{79750412-94A6-7DE6-9F89-D48AB7F7C85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4" name="Straight Connector 82">
            <a:extLst>
              <a:ext uri="{FF2B5EF4-FFF2-40B4-BE49-F238E27FC236}">
                <a16:creationId xmlns:a16="http://schemas.microsoft.com/office/drawing/2014/main" id="{36CDBFEB-2104-F9F3-F989-A3CB221DF6A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83">
            <a:extLst>
              <a:ext uri="{FF2B5EF4-FFF2-40B4-BE49-F238E27FC236}">
                <a16:creationId xmlns:a16="http://schemas.microsoft.com/office/drawing/2014/main" id="{595B7DFA-D41B-77FF-AE11-E4909AF800B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Connector 84">
            <a:extLst>
              <a:ext uri="{FF2B5EF4-FFF2-40B4-BE49-F238E27FC236}">
                <a16:creationId xmlns:a16="http://schemas.microsoft.com/office/drawing/2014/main" id="{C321D2C8-1AE1-F3FC-1A88-A6F194E3502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102704</xdr:colOff>
      <xdr:row>9</xdr:row>
      <xdr:rowOff>36444</xdr:rowOff>
    </xdr:from>
    <xdr:to>
      <xdr:col>12</xdr:col>
      <xdr:colOff>241839</xdr:colOff>
      <xdr:row>9</xdr:row>
      <xdr:rowOff>99889</xdr:rowOff>
    </xdr:to>
    <xdr:grpSp>
      <xdr:nvGrpSpPr>
        <xdr:cNvPr id="467" name="Grup 239">
          <a:extLst>
            <a:ext uri="{FF2B5EF4-FFF2-40B4-BE49-F238E27FC236}">
              <a16:creationId xmlns:a16="http://schemas.microsoft.com/office/drawing/2014/main" id="{1F9793B9-377F-467F-97B7-1881D651B9F0}"/>
            </a:ext>
          </a:extLst>
        </xdr:cNvPr>
        <xdr:cNvGrpSpPr/>
      </xdr:nvGrpSpPr>
      <xdr:grpSpPr>
        <a:xfrm>
          <a:off x="4227443" y="1411357"/>
          <a:ext cx="139135" cy="63445"/>
          <a:chOff x="13302191" y="2320613"/>
          <a:chExt cx="139135" cy="57233"/>
        </a:xfrm>
      </xdr:grpSpPr>
      <xdr:cxnSp macro="">
        <xdr:nvCxnSpPr>
          <xdr:cNvPr id="468" name="Straight Connector 81">
            <a:extLst>
              <a:ext uri="{FF2B5EF4-FFF2-40B4-BE49-F238E27FC236}">
                <a16:creationId xmlns:a16="http://schemas.microsoft.com/office/drawing/2014/main" id="{63F0C8BB-4DB4-F308-10EB-B3F3CF03C6E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9" name="Straight Connector 82">
            <a:extLst>
              <a:ext uri="{FF2B5EF4-FFF2-40B4-BE49-F238E27FC236}">
                <a16:creationId xmlns:a16="http://schemas.microsoft.com/office/drawing/2014/main" id="{2D624D1B-370F-14FF-C663-716616110E7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0" name="Straight Connector 83">
            <a:extLst>
              <a:ext uri="{FF2B5EF4-FFF2-40B4-BE49-F238E27FC236}">
                <a16:creationId xmlns:a16="http://schemas.microsoft.com/office/drawing/2014/main" id="{23FD52C9-7FF8-B263-1C59-F038802B830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1" name="Straight Connector 84">
            <a:extLst>
              <a:ext uri="{FF2B5EF4-FFF2-40B4-BE49-F238E27FC236}">
                <a16:creationId xmlns:a16="http://schemas.microsoft.com/office/drawing/2014/main" id="{CA9BB671-875F-86BF-4679-79289CF559A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89452</xdr:colOff>
      <xdr:row>6</xdr:row>
      <xdr:rowOff>139147</xdr:rowOff>
    </xdr:from>
    <xdr:to>
      <xdr:col>12</xdr:col>
      <xdr:colOff>228587</xdr:colOff>
      <xdr:row>7</xdr:row>
      <xdr:rowOff>53505</xdr:rowOff>
    </xdr:to>
    <xdr:grpSp>
      <xdr:nvGrpSpPr>
        <xdr:cNvPr id="472" name="Grup 239">
          <a:extLst>
            <a:ext uri="{FF2B5EF4-FFF2-40B4-BE49-F238E27FC236}">
              <a16:creationId xmlns:a16="http://schemas.microsoft.com/office/drawing/2014/main" id="{B28C2B7D-35AE-425F-B4E4-03144B58BC10}"/>
            </a:ext>
          </a:extLst>
        </xdr:cNvPr>
        <xdr:cNvGrpSpPr/>
      </xdr:nvGrpSpPr>
      <xdr:grpSpPr>
        <a:xfrm>
          <a:off x="4214191" y="1066799"/>
          <a:ext cx="139135" cy="63445"/>
          <a:chOff x="13302191" y="2320613"/>
          <a:chExt cx="139135" cy="57233"/>
        </a:xfrm>
      </xdr:grpSpPr>
      <xdr:cxnSp macro="">
        <xdr:nvCxnSpPr>
          <xdr:cNvPr id="473" name="Straight Connector 81">
            <a:extLst>
              <a:ext uri="{FF2B5EF4-FFF2-40B4-BE49-F238E27FC236}">
                <a16:creationId xmlns:a16="http://schemas.microsoft.com/office/drawing/2014/main" id="{CB9B7FB3-6E21-0EDA-046A-7D9BE920B2E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4" name="Straight Connector 82">
            <a:extLst>
              <a:ext uri="{FF2B5EF4-FFF2-40B4-BE49-F238E27FC236}">
                <a16:creationId xmlns:a16="http://schemas.microsoft.com/office/drawing/2014/main" id="{FA7A4B0D-61E3-8241-837D-7E6E86DDB22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5" name="Straight Connector 83">
            <a:extLst>
              <a:ext uri="{FF2B5EF4-FFF2-40B4-BE49-F238E27FC236}">
                <a16:creationId xmlns:a16="http://schemas.microsoft.com/office/drawing/2014/main" id="{161DCA2B-265F-DC7A-99FB-162381E87A7E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6" name="Straight Connector 84">
            <a:extLst>
              <a:ext uri="{FF2B5EF4-FFF2-40B4-BE49-F238E27FC236}">
                <a16:creationId xmlns:a16="http://schemas.microsoft.com/office/drawing/2014/main" id="{2710FD22-180B-9B00-21E9-19BEF886109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241852</xdr:colOff>
      <xdr:row>4</xdr:row>
      <xdr:rowOff>51352</xdr:rowOff>
    </xdr:from>
    <xdr:to>
      <xdr:col>13</xdr:col>
      <xdr:colOff>380987</xdr:colOff>
      <xdr:row>4</xdr:row>
      <xdr:rowOff>114797</xdr:rowOff>
    </xdr:to>
    <xdr:grpSp>
      <xdr:nvGrpSpPr>
        <xdr:cNvPr id="477" name="Grup 239">
          <a:extLst>
            <a:ext uri="{FF2B5EF4-FFF2-40B4-BE49-F238E27FC236}">
              <a16:creationId xmlns:a16="http://schemas.microsoft.com/office/drawing/2014/main" id="{4F4538F1-A67D-492D-9DD8-031697014CBD}"/>
            </a:ext>
          </a:extLst>
        </xdr:cNvPr>
        <xdr:cNvGrpSpPr/>
      </xdr:nvGrpSpPr>
      <xdr:grpSpPr>
        <a:xfrm>
          <a:off x="4747591" y="680830"/>
          <a:ext cx="139135" cy="63445"/>
          <a:chOff x="13302191" y="2320613"/>
          <a:chExt cx="139135" cy="57233"/>
        </a:xfrm>
      </xdr:grpSpPr>
      <xdr:cxnSp macro="">
        <xdr:nvCxnSpPr>
          <xdr:cNvPr id="478" name="Straight Connector 81">
            <a:extLst>
              <a:ext uri="{FF2B5EF4-FFF2-40B4-BE49-F238E27FC236}">
                <a16:creationId xmlns:a16="http://schemas.microsoft.com/office/drawing/2014/main" id="{DD61EA61-CC85-553E-3832-2A7077FC72F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Straight Connector 82">
            <a:extLst>
              <a:ext uri="{FF2B5EF4-FFF2-40B4-BE49-F238E27FC236}">
                <a16:creationId xmlns:a16="http://schemas.microsoft.com/office/drawing/2014/main" id="{124F66DE-6225-85C2-ED6B-46C013C4FFD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0" name="Straight Connector 83">
            <a:extLst>
              <a:ext uri="{FF2B5EF4-FFF2-40B4-BE49-F238E27FC236}">
                <a16:creationId xmlns:a16="http://schemas.microsoft.com/office/drawing/2014/main" id="{21EE7AE8-6EDC-4ED2-73B1-BEE22F8FBB7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1" name="Straight Connector 84">
            <a:extLst>
              <a:ext uri="{FF2B5EF4-FFF2-40B4-BE49-F238E27FC236}">
                <a16:creationId xmlns:a16="http://schemas.microsoft.com/office/drawing/2014/main" id="{0AE5AFAD-16CF-DC74-F67D-6A150588D6E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162339</xdr:colOff>
      <xdr:row>4</xdr:row>
      <xdr:rowOff>21535</xdr:rowOff>
    </xdr:from>
    <xdr:to>
      <xdr:col>15</xdr:col>
      <xdr:colOff>301474</xdr:colOff>
      <xdr:row>4</xdr:row>
      <xdr:rowOff>84980</xdr:rowOff>
    </xdr:to>
    <xdr:grpSp>
      <xdr:nvGrpSpPr>
        <xdr:cNvPr id="482" name="Grup 239">
          <a:extLst>
            <a:ext uri="{FF2B5EF4-FFF2-40B4-BE49-F238E27FC236}">
              <a16:creationId xmlns:a16="http://schemas.microsoft.com/office/drawing/2014/main" id="{4CC6676C-3EB0-440E-B5F1-17F583C118E5}"/>
            </a:ext>
          </a:extLst>
        </xdr:cNvPr>
        <xdr:cNvGrpSpPr/>
      </xdr:nvGrpSpPr>
      <xdr:grpSpPr>
        <a:xfrm>
          <a:off x="5430078" y="651013"/>
          <a:ext cx="139135" cy="63445"/>
          <a:chOff x="13302191" y="2320613"/>
          <a:chExt cx="139135" cy="57233"/>
        </a:xfrm>
      </xdr:grpSpPr>
      <xdr:cxnSp macro="">
        <xdr:nvCxnSpPr>
          <xdr:cNvPr id="483" name="Straight Connector 81">
            <a:extLst>
              <a:ext uri="{FF2B5EF4-FFF2-40B4-BE49-F238E27FC236}">
                <a16:creationId xmlns:a16="http://schemas.microsoft.com/office/drawing/2014/main" id="{14FE1832-BD46-6C1F-8F5D-217B66CB780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4" name="Straight Connector 82">
            <a:extLst>
              <a:ext uri="{FF2B5EF4-FFF2-40B4-BE49-F238E27FC236}">
                <a16:creationId xmlns:a16="http://schemas.microsoft.com/office/drawing/2014/main" id="{1B96E9C0-17D9-7E78-6A3D-1F149EFFCF6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5" name="Straight Connector 83">
            <a:extLst>
              <a:ext uri="{FF2B5EF4-FFF2-40B4-BE49-F238E27FC236}">
                <a16:creationId xmlns:a16="http://schemas.microsoft.com/office/drawing/2014/main" id="{541445AB-45CF-8DC1-CE66-A034B53B9F3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6" name="Straight Connector 84">
            <a:extLst>
              <a:ext uri="{FF2B5EF4-FFF2-40B4-BE49-F238E27FC236}">
                <a16:creationId xmlns:a16="http://schemas.microsoft.com/office/drawing/2014/main" id="{48B257C9-6E5A-99A4-7690-BA663A603C0F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57979</xdr:colOff>
      <xdr:row>1</xdr:row>
      <xdr:rowOff>57978</xdr:rowOff>
    </xdr:from>
    <xdr:to>
      <xdr:col>21</xdr:col>
      <xdr:colOff>1</xdr:colOff>
      <xdr:row>4</xdr:row>
      <xdr:rowOff>57977</xdr:rowOff>
    </xdr:to>
    <xdr:sp macro="" textlink="">
      <xdr:nvSpPr>
        <xdr:cNvPr id="487" name="TextBox 157">
          <a:extLst>
            <a:ext uri="{FF2B5EF4-FFF2-40B4-BE49-F238E27FC236}">
              <a16:creationId xmlns:a16="http://schemas.microsoft.com/office/drawing/2014/main" id="{207471C3-1A57-4273-B744-319282443C3C}"/>
            </a:ext>
          </a:extLst>
        </xdr:cNvPr>
        <xdr:cNvSpPr txBox="1"/>
      </xdr:nvSpPr>
      <xdr:spPr>
        <a:xfrm>
          <a:off x="6468718" y="223630"/>
          <a:ext cx="1085022" cy="46382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23KVA PASKA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4X16 MM = 40M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33131</xdr:colOff>
      <xdr:row>24</xdr:row>
      <xdr:rowOff>24846</xdr:rowOff>
    </xdr:from>
    <xdr:to>
      <xdr:col>13</xdr:col>
      <xdr:colOff>24848</xdr:colOff>
      <xdr:row>27</xdr:row>
      <xdr:rowOff>140805</xdr:rowOff>
    </xdr:to>
    <xdr:sp macro="" textlink="">
      <xdr:nvSpPr>
        <xdr:cNvPr id="488" name="TextBox 157">
          <a:extLst>
            <a:ext uri="{FF2B5EF4-FFF2-40B4-BE49-F238E27FC236}">
              <a16:creationId xmlns:a16="http://schemas.microsoft.com/office/drawing/2014/main" id="{13D0102A-60DE-482C-A9E9-4230F61F4FC5}"/>
            </a:ext>
          </a:extLst>
        </xdr:cNvPr>
        <xdr:cNvSpPr txBox="1"/>
      </xdr:nvSpPr>
      <xdr:spPr>
        <a:xfrm>
          <a:off x="3776870" y="3652629"/>
          <a:ext cx="753717" cy="56321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C1-A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298174</xdr:colOff>
      <xdr:row>18</xdr:row>
      <xdr:rowOff>99391</xdr:rowOff>
    </xdr:from>
    <xdr:to>
      <xdr:col>11</xdr:col>
      <xdr:colOff>289891</xdr:colOff>
      <xdr:row>21</xdr:row>
      <xdr:rowOff>107674</xdr:rowOff>
    </xdr:to>
    <xdr:sp macro="" textlink="">
      <xdr:nvSpPr>
        <xdr:cNvPr id="489" name="TextBox 157">
          <a:extLst>
            <a:ext uri="{FF2B5EF4-FFF2-40B4-BE49-F238E27FC236}">
              <a16:creationId xmlns:a16="http://schemas.microsoft.com/office/drawing/2014/main" id="{F5F21EAA-7425-4558-9219-3E8C90B6F97D}"/>
            </a:ext>
          </a:extLst>
        </xdr:cNvPr>
        <xdr:cNvSpPr txBox="1"/>
      </xdr:nvSpPr>
      <xdr:spPr>
        <a:xfrm>
          <a:off x="3279913" y="2832652"/>
          <a:ext cx="753717" cy="45554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173935</xdr:colOff>
      <xdr:row>16</xdr:row>
      <xdr:rowOff>16564</xdr:rowOff>
    </xdr:from>
    <xdr:to>
      <xdr:col>15</xdr:col>
      <xdr:colOff>165652</xdr:colOff>
      <xdr:row>20</xdr:row>
      <xdr:rowOff>82826</xdr:rowOff>
    </xdr:to>
    <xdr:sp macro="" textlink="">
      <xdr:nvSpPr>
        <xdr:cNvPr id="490" name="TextBox 157">
          <a:extLst>
            <a:ext uri="{FF2B5EF4-FFF2-40B4-BE49-F238E27FC236}">
              <a16:creationId xmlns:a16="http://schemas.microsoft.com/office/drawing/2014/main" id="{FA645527-16A1-4D48-95F8-64AF10727609}"/>
            </a:ext>
          </a:extLst>
        </xdr:cNvPr>
        <xdr:cNvSpPr txBox="1"/>
      </xdr:nvSpPr>
      <xdr:spPr>
        <a:xfrm>
          <a:off x="4679674" y="2451651"/>
          <a:ext cx="753717" cy="6626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C7-200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CJ5-T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CJ5-T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190500</xdr:colOff>
      <xdr:row>16</xdr:row>
      <xdr:rowOff>132522</xdr:rowOff>
    </xdr:from>
    <xdr:to>
      <xdr:col>15</xdr:col>
      <xdr:colOff>149087</xdr:colOff>
      <xdr:row>16</xdr:row>
      <xdr:rowOff>135669</xdr:rowOff>
    </xdr:to>
    <xdr:cxnSp macro="">
      <xdr:nvCxnSpPr>
        <xdr:cNvPr id="491" name="Straight Connector 140">
          <a:extLst>
            <a:ext uri="{FF2B5EF4-FFF2-40B4-BE49-F238E27FC236}">
              <a16:creationId xmlns:a16="http://schemas.microsoft.com/office/drawing/2014/main" id="{56B9F117-0050-4B2D-A016-6D00ADDFDAFD}"/>
            </a:ext>
          </a:extLst>
        </xdr:cNvPr>
        <xdr:cNvCxnSpPr>
          <a:cxnSpLocks/>
        </xdr:cNvCxnSpPr>
      </xdr:nvCxnSpPr>
      <xdr:spPr bwMode="auto">
        <a:xfrm flipH="1">
          <a:off x="4696239" y="2567609"/>
          <a:ext cx="720587" cy="314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182217</xdr:colOff>
      <xdr:row>17</xdr:row>
      <xdr:rowOff>99391</xdr:rowOff>
    </xdr:from>
    <xdr:to>
      <xdr:col>15</xdr:col>
      <xdr:colOff>149087</xdr:colOff>
      <xdr:row>17</xdr:row>
      <xdr:rowOff>110821</xdr:rowOff>
    </xdr:to>
    <xdr:cxnSp macro="">
      <xdr:nvCxnSpPr>
        <xdr:cNvPr id="494" name="Straight Connector 140">
          <a:extLst>
            <a:ext uri="{FF2B5EF4-FFF2-40B4-BE49-F238E27FC236}">
              <a16:creationId xmlns:a16="http://schemas.microsoft.com/office/drawing/2014/main" id="{8D2AB74C-CEC5-4324-998E-FEAB09376427}"/>
            </a:ext>
          </a:extLst>
        </xdr:cNvPr>
        <xdr:cNvCxnSpPr>
          <a:cxnSpLocks/>
        </xdr:cNvCxnSpPr>
      </xdr:nvCxnSpPr>
      <xdr:spPr bwMode="auto">
        <a:xfrm flipH="1">
          <a:off x="4687956" y="2683565"/>
          <a:ext cx="728870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281609</xdr:colOff>
      <xdr:row>11</xdr:row>
      <xdr:rowOff>74543</xdr:rowOff>
    </xdr:from>
    <xdr:to>
      <xdr:col>15</xdr:col>
      <xdr:colOff>273326</xdr:colOff>
      <xdr:row>15</xdr:row>
      <xdr:rowOff>124240</xdr:rowOff>
    </xdr:to>
    <xdr:sp macro="" textlink="">
      <xdr:nvSpPr>
        <xdr:cNvPr id="496" name="TextBox 157">
          <a:extLst>
            <a:ext uri="{FF2B5EF4-FFF2-40B4-BE49-F238E27FC236}">
              <a16:creationId xmlns:a16="http://schemas.microsoft.com/office/drawing/2014/main" id="{C15535C4-DA69-43D3-A71E-5676D66B0431}"/>
            </a:ext>
          </a:extLst>
        </xdr:cNvPr>
        <xdr:cNvSpPr txBox="1"/>
      </xdr:nvSpPr>
      <xdr:spPr>
        <a:xfrm>
          <a:off x="4787348" y="1747630"/>
          <a:ext cx="753717" cy="6626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C7-200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CJ5-T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CJ5-T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298174</xdr:colOff>
      <xdr:row>12</xdr:row>
      <xdr:rowOff>33131</xdr:rowOff>
    </xdr:from>
    <xdr:to>
      <xdr:col>15</xdr:col>
      <xdr:colOff>256761</xdr:colOff>
      <xdr:row>12</xdr:row>
      <xdr:rowOff>36278</xdr:rowOff>
    </xdr:to>
    <xdr:cxnSp macro="">
      <xdr:nvCxnSpPr>
        <xdr:cNvPr id="497" name="Straight Connector 140">
          <a:extLst>
            <a:ext uri="{FF2B5EF4-FFF2-40B4-BE49-F238E27FC236}">
              <a16:creationId xmlns:a16="http://schemas.microsoft.com/office/drawing/2014/main" id="{A7DD4951-E9B5-4892-83C1-AF493F930B03}"/>
            </a:ext>
          </a:extLst>
        </xdr:cNvPr>
        <xdr:cNvCxnSpPr>
          <a:cxnSpLocks/>
        </xdr:cNvCxnSpPr>
      </xdr:nvCxnSpPr>
      <xdr:spPr bwMode="auto">
        <a:xfrm flipH="1">
          <a:off x="4803913" y="1855305"/>
          <a:ext cx="720587" cy="314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314739</xdr:colOff>
      <xdr:row>13</xdr:row>
      <xdr:rowOff>0</xdr:rowOff>
    </xdr:from>
    <xdr:to>
      <xdr:col>15</xdr:col>
      <xdr:colOff>273326</xdr:colOff>
      <xdr:row>13</xdr:row>
      <xdr:rowOff>3147</xdr:rowOff>
    </xdr:to>
    <xdr:cxnSp macro="">
      <xdr:nvCxnSpPr>
        <xdr:cNvPr id="498" name="Straight Connector 140">
          <a:extLst>
            <a:ext uri="{FF2B5EF4-FFF2-40B4-BE49-F238E27FC236}">
              <a16:creationId xmlns:a16="http://schemas.microsoft.com/office/drawing/2014/main" id="{46AC978A-A267-40E5-B757-27B42F3A0946}"/>
            </a:ext>
          </a:extLst>
        </xdr:cNvPr>
        <xdr:cNvCxnSpPr>
          <a:cxnSpLocks/>
        </xdr:cNvCxnSpPr>
      </xdr:nvCxnSpPr>
      <xdr:spPr bwMode="auto">
        <a:xfrm flipH="1">
          <a:off x="4820478" y="1987826"/>
          <a:ext cx="720587" cy="314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82826</xdr:colOff>
      <xdr:row>10</xdr:row>
      <xdr:rowOff>16565</xdr:rowOff>
    </xdr:from>
    <xdr:to>
      <xdr:col>12</xdr:col>
      <xdr:colOff>74543</xdr:colOff>
      <xdr:row>12</xdr:row>
      <xdr:rowOff>140804</xdr:rowOff>
    </xdr:to>
    <xdr:sp macro="" textlink="">
      <xdr:nvSpPr>
        <xdr:cNvPr id="499" name="TextBox 157">
          <a:extLst>
            <a:ext uri="{FF2B5EF4-FFF2-40B4-BE49-F238E27FC236}">
              <a16:creationId xmlns:a16="http://schemas.microsoft.com/office/drawing/2014/main" id="{515813CB-30C2-437C-B400-C36BC7A5B5DE}"/>
            </a:ext>
          </a:extLst>
        </xdr:cNvPr>
        <xdr:cNvSpPr txBox="1"/>
      </xdr:nvSpPr>
      <xdr:spPr>
        <a:xfrm>
          <a:off x="3445565" y="1540565"/>
          <a:ext cx="753717" cy="42241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S9-200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CJ5-T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41413</xdr:colOff>
      <xdr:row>7</xdr:row>
      <xdr:rowOff>74543</xdr:rowOff>
    </xdr:from>
    <xdr:to>
      <xdr:col>15</xdr:col>
      <xdr:colOff>33130</xdr:colOff>
      <xdr:row>10</xdr:row>
      <xdr:rowOff>49695</xdr:rowOff>
    </xdr:to>
    <xdr:sp macro="" textlink="">
      <xdr:nvSpPr>
        <xdr:cNvPr id="500" name="TextBox 157">
          <a:extLst>
            <a:ext uri="{FF2B5EF4-FFF2-40B4-BE49-F238E27FC236}">
              <a16:creationId xmlns:a16="http://schemas.microsoft.com/office/drawing/2014/main" id="{D6EB50F6-D934-42A9-8909-22E378B8336E}"/>
            </a:ext>
          </a:extLst>
        </xdr:cNvPr>
        <xdr:cNvSpPr txBox="1"/>
      </xdr:nvSpPr>
      <xdr:spPr>
        <a:xfrm>
          <a:off x="4547152" y="1151282"/>
          <a:ext cx="753717" cy="42241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S9-200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CJ5-T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82826</xdr:colOff>
      <xdr:row>3</xdr:row>
      <xdr:rowOff>24848</xdr:rowOff>
    </xdr:from>
    <xdr:to>
      <xdr:col>12</xdr:col>
      <xdr:colOff>74543</xdr:colOff>
      <xdr:row>6</xdr:row>
      <xdr:rowOff>0</xdr:rowOff>
    </xdr:to>
    <xdr:sp macro="" textlink="">
      <xdr:nvSpPr>
        <xdr:cNvPr id="501" name="TextBox 157">
          <a:extLst>
            <a:ext uri="{FF2B5EF4-FFF2-40B4-BE49-F238E27FC236}">
              <a16:creationId xmlns:a16="http://schemas.microsoft.com/office/drawing/2014/main" id="{D8F8680C-0248-41CC-9865-82144C284A79}"/>
            </a:ext>
          </a:extLst>
        </xdr:cNvPr>
        <xdr:cNvSpPr txBox="1"/>
      </xdr:nvSpPr>
      <xdr:spPr>
        <a:xfrm>
          <a:off x="3445565" y="505239"/>
          <a:ext cx="753717" cy="42241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S9-200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CJ6-T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157370</xdr:colOff>
      <xdr:row>1</xdr:row>
      <xdr:rowOff>16565</xdr:rowOff>
    </xdr:from>
    <xdr:to>
      <xdr:col>15</xdr:col>
      <xdr:colOff>149087</xdr:colOff>
      <xdr:row>3</xdr:row>
      <xdr:rowOff>99391</xdr:rowOff>
    </xdr:to>
    <xdr:sp macro="" textlink="">
      <xdr:nvSpPr>
        <xdr:cNvPr id="502" name="TextBox 157">
          <a:extLst>
            <a:ext uri="{FF2B5EF4-FFF2-40B4-BE49-F238E27FC236}">
              <a16:creationId xmlns:a16="http://schemas.microsoft.com/office/drawing/2014/main" id="{1689233E-876C-41F6-A8D6-4D55FA816786}"/>
            </a:ext>
          </a:extLst>
        </xdr:cNvPr>
        <xdr:cNvSpPr txBox="1"/>
      </xdr:nvSpPr>
      <xdr:spPr>
        <a:xfrm>
          <a:off x="4663109" y="182217"/>
          <a:ext cx="753717" cy="3975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C9-200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347870</xdr:colOff>
      <xdr:row>5</xdr:row>
      <xdr:rowOff>16566</xdr:rowOff>
    </xdr:from>
    <xdr:to>
      <xdr:col>17</xdr:col>
      <xdr:colOff>339587</xdr:colOff>
      <xdr:row>10</xdr:row>
      <xdr:rowOff>49696</xdr:rowOff>
    </xdr:to>
    <xdr:sp macro="" textlink="">
      <xdr:nvSpPr>
        <xdr:cNvPr id="503" name="TextBox 157">
          <a:extLst>
            <a:ext uri="{FF2B5EF4-FFF2-40B4-BE49-F238E27FC236}">
              <a16:creationId xmlns:a16="http://schemas.microsoft.com/office/drawing/2014/main" id="{2D96C107-1B31-417A-BD87-6C8E514566E1}"/>
            </a:ext>
          </a:extLst>
        </xdr:cNvPr>
        <xdr:cNvSpPr txBox="1"/>
      </xdr:nvSpPr>
      <xdr:spPr>
        <a:xfrm>
          <a:off x="5615609" y="795131"/>
          <a:ext cx="753717" cy="7785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C9-200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215348</xdr:colOff>
      <xdr:row>2</xdr:row>
      <xdr:rowOff>29156</xdr:rowOff>
    </xdr:from>
    <xdr:to>
      <xdr:col>17</xdr:col>
      <xdr:colOff>210876</xdr:colOff>
      <xdr:row>3</xdr:row>
      <xdr:rowOff>127553</xdr:rowOff>
    </xdr:to>
    <xdr:cxnSp macro="">
      <xdr:nvCxnSpPr>
        <xdr:cNvPr id="504" name="Straight Connector 139">
          <a:extLst>
            <a:ext uri="{FF2B5EF4-FFF2-40B4-BE49-F238E27FC236}">
              <a16:creationId xmlns:a16="http://schemas.microsoft.com/office/drawing/2014/main" id="{EB64FE3C-F15E-48CC-B978-E482A2E4A3B9}"/>
            </a:ext>
          </a:extLst>
        </xdr:cNvPr>
        <xdr:cNvCxnSpPr>
          <a:cxnSpLocks/>
          <a:stCxn id="202" idx="1"/>
        </xdr:cNvCxnSpPr>
      </xdr:nvCxnSpPr>
      <xdr:spPr bwMode="auto">
        <a:xfrm flipH="1">
          <a:off x="5864087" y="360460"/>
          <a:ext cx="376528" cy="24748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339587</xdr:colOff>
      <xdr:row>2</xdr:row>
      <xdr:rowOff>107674</xdr:rowOff>
    </xdr:from>
    <xdr:to>
      <xdr:col>17</xdr:col>
      <xdr:colOff>97722</xdr:colOff>
      <xdr:row>3</xdr:row>
      <xdr:rowOff>22032</xdr:rowOff>
    </xdr:to>
    <xdr:grpSp>
      <xdr:nvGrpSpPr>
        <xdr:cNvPr id="506" name="Grup 239">
          <a:extLst>
            <a:ext uri="{FF2B5EF4-FFF2-40B4-BE49-F238E27FC236}">
              <a16:creationId xmlns:a16="http://schemas.microsoft.com/office/drawing/2014/main" id="{AB90FEEB-3AB4-4C95-8378-6CA943658C4E}"/>
            </a:ext>
          </a:extLst>
        </xdr:cNvPr>
        <xdr:cNvGrpSpPr/>
      </xdr:nvGrpSpPr>
      <xdr:grpSpPr>
        <a:xfrm rot="19400359">
          <a:off x="5988326" y="438978"/>
          <a:ext cx="139135" cy="63445"/>
          <a:chOff x="13302191" y="2320613"/>
          <a:chExt cx="139135" cy="57233"/>
        </a:xfrm>
      </xdr:grpSpPr>
      <xdr:cxnSp macro="">
        <xdr:nvCxnSpPr>
          <xdr:cNvPr id="507" name="Straight Connector 81">
            <a:extLst>
              <a:ext uri="{FF2B5EF4-FFF2-40B4-BE49-F238E27FC236}">
                <a16:creationId xmlns:a16="http://schemas.microsoft.com/office/drawing/2014/main" id="{D235B545-ACB0-E073-096B-66224F8676D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8" name="Straight Connector 82">
            <a:extLst>
              <a:ext uri="{FF2B5EF4-FFF2-40B4-BE49-F238E27FC236}">
                <a16:creationId xmlns:a16="http://schemas.microsoft.com/office/drawing/2014/main" id="{D3F9FD17-1DC4-58BE-50E5-DCEAC0C4475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9" name="Straight Connector 83">
            <a:extLst>
              <a:ext uri="{FF2B5EF4-FFF2-40B4-BE49-F238E27FC236}">
                <a16:creationId xmlns:a16="http://schemas.microsoft.com/office/drawing/2014/main" id="{A491903E-A2AF-9B16-1C4D-C153DAFC768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0" name="Straight Connector 84">
            <a:extLst>
              <a:ext uri="{FF2B5EF4-FFF2-40B4-BE49-F238E27FC236}">
                <a16:creationId xmlns:a16="http://schemas.microsoft.com/office/drawing/2014/main" id="{5DD6EF2D-6EED-90E0-7A28-2ADF2DA1D17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269974</xdr:colOff>
      <xdr:row>19</xdr:row>
      <xdr:rowOff>111027</xdr:rowOff>
    </xdr:from>
    <xdr:to>
      <xdr:col>12</xdr:col>
      <xdr:colOff>94464</xdr:colOff>
      <xdr:row>23</xdr:row>
      <xdr:rowOff>94462</xdr:rowOff>
    </xdr:to>
    <xdr:sp macro="" textlink="">
      <xdr:nvSpPr>
        <xdr:cNvPr id="511" name="TextBox 160">
          <a:extLst>
            <a:ext uri="{FF2B5EF4-FFF2-40B4-BE49-F238E27FC236}">
              <a16:creationId xmlns:a16="http://schemas.microsoft.com/office/drawing/2014/main" id="{36094ADB-9BA0-4A68-A8D0-AEC5A2FEB825}"/>
            </a:ext>
          </a:extLst>
        </xdr:cNvPr>
        <xdr:cNvSpPr txBox="1"/>
      </xdr:nvSpPr>
      <xdr:spPr>
        <a:xfrm rot="17503033">
          <a:off x="3826566" y="3180522"/>
          <a:ext cx="579783" cy="205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364435</xdr:colOff>
      <xdr:row>17</xdr:row>
      <xdr:rowOff>66261</xdr:rowOff>
    </xdr:from>
    <xdr:to>
      <xdr:col>12</xdr:col>
      <xdr:colOff>188925</xdr:colOff>
      <xdr:row>21</xdr:row>
      <xdr:rowOff>49696</xdr:rowOff>
    </xdr:to>
    <xdr:sp macro="" textlink="">
      <xdr:nvSpPr>
        <xdr:cNvPr id="512" name="TextBox 160">
          <a:extLst>
            <a:ext uri="{FF2B5EF4-FFF2-40B4-BE49-F238E27FC236}">
              <a16:creationId xmlns:a16="http://schemas.microsoft.com/office/drawing/2014/main" id="{30CB9740-233C-41BD-93DA-BB83F864E580}"/>
            </a:ext>
          </a:extLst>
        </xdr:cNvPr>
        <xdr:cNvSpPr txBox="1"/>
      </xdr:nvSpPr>
      <xdr:spPr>
        <a:xfrm rot="17503033">
          <a:off x="3921027" y="2837582"/>
          <a:ext cx="579783" cy="205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115958</xdr:colOff>
      <xdr:row>13</xdr:row>
      <xdr:rowOff>16566</xdr:rowOff>
    </xdr:from>
    <xdr:to>
      <xdr:col>13</xdr:col>
      <xdr:colOff>321448</xdr:colOff>
      <xdr:row>17</xdr:row>
      <xdr:rowOff>1</xdr:rowOff>
    </xdr:to>
    <xdr:sp macro="" textlink="">
      <xdr:nvSpPr>
        <xdr:cNvPr id="513" name="TextBox 160">
          <a:extLst>
            <a:ext uri="{FF2B5EF4-FFF2-40B4-BE49-F238E27FC236}">
              <a16:creationId xmlns:a16="http://schemas.microsoft.com/office/drawing/2014/main" id="{42D4067C-0FB4-4E48-880F-C14DDEB24C2E}"/>
            </a:ext>
          </a:extLst>
        </xdr:cNvPr>
        <xdr:cNvSpPr txBox="1"/>
      </xdr:nvSpPr>
      <xdr:spPr>
        <a:xfrm rot="16200000">
          <a:off x="4434550" y="2191539"/>
          <a:ext cx="579783" cy="205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8284</xdr:colOff>
      <xdr:row>10</xdr:row>
      <xdr:rowOff>57978</xdr:rowOff>
    </xdr:from>
    <xdr:to>
      <xdr:col>13</xdr:col>
      <xdr:colOff>213774</xdr:colOff>
      <xdr:row>14</xdr:row>
      <xdr:rowOff>24848</xdr:rowOff>
    </xdr:to>
    <xdr:sp macro="" textlink="">
      <xdr:nvSpPr>
        <xdr:cNvPr id="514" name="TextBox 160">
          <a:extLst>
            <a:ext uri="{FF2B5EF4-FFF2-40B4-BE49-F238E27FC236}">
              <a16:creationId xmlns:a16="http://schemas.microsoft.com/office/drawing/2014/main" id="{89105E88-7739-42B8-9496-4E6F82EC26F8}"/>
            </a:ext>
          </a:extLst>
        </xdr:cNvPr>
        <xdr:cNvSpPr txBox="1"/>
      </xdr:nvSpPr>
      <xdr:spPr>
        <a:xfrm rot="3993095">
          <a:off x="4326876" y="1769125"/>
          <a:ext cx="579783" cy="205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314738</xdr:colOff>
      <xdr:row>7</xdr:row>
      <xdr:rowOff>49695</xdr:rowOff>
    </xdr:from>
    <xdr:to>
      <xdr:col>12</xdr:col>
      <xdr:colOff>139228</xdr:colOff>
      <xdr:row>11</xdr:row>
      <xdr:rowOff>33130</xdr:rowOff>
    </xdr:to>
    <xdr:sp macro="" textlink="">
      <xdr:nvSpPr>
        <xdr:cNvPr id="515" name="TextBox 160">
          <a:extLst>
            <a:ext uri="{FF2B5EF4-FFF2-40B4-BE49-F238E27FC236}">
              <a16:creationId xmlns:a16="http://schemas.microsoft.com/office/drawing/2014/main" id="{3DB50897-8B34-4DF6-9B93-6769FEE5C16C}"/>
            </a:ext>
          </a:extLst>
        </xdr:cNvPr>
        <xdr:cNvSpPr txBox="1"/>
      </xdr:nvSpPr>
      <xdr:spPr>
        <a:xfrm rot="16200000">
          <a:off x="3871330" y="1313581"/>
          <a:ext cx="579783" cy="205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306457</xdr:colOff>
      <xdr:row>5</xdr:row>
      <xdr:rowOff>1</xdr:rowOff>
    </xdr:from>
    <xdr:to>
      <xdr:col>12</xdr:col>
      <xdr:colOff>130947</xdr:colOff>
      <xdr:row>8</xdr:row>
      <xdr:rowOff>132523</xdr:rowOff>
    </xdr:to>
    <xdr:sp macro="" textlink="">
      <xdr:nvSpPr>
        <xdr:cNvPr id="516" name="TextBox 160">
          <a:extLst>
            <a:ext uri="{FF2B5EF4-FFF2-40B4-BE49-F238E27FC236}">
              <a16:creationId xmlns:a16="http://schemas.microsoft.com/office/drawing/2014/main" id="{02C7FD78-05A9-4970-BB61-937181935D6D}"/>
            </a:ext>
          </a:extLst>
        </xdr:cNvPr>
        <xdr:cNvSpPr txBox="1"/>
      </xdr:nvSpPr>
      <xdr:spPr>
        <a:xfrm rot="16200000">
          <a:off x="3863049" y="965713"/>
          <a:ext cx="579783" cy="205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284961</xdr:colOff>
      <xdr:row>3</xdr:row>
      <xdr:rowOff>54625</xdr:rowOff>
    </xdr:from>
    <xdr:to>
      <xdr:col>14</xdr:col>
      <xdr:colOff>102744</xdr:colOff>
      <xdr:row>4</xdr:row>
      <xdr:rowOff>111028</xdr:rowOff>
    </xdr:to>
    <xdr:sp macro="" textlink="">
      <xdr:nvSpPr>
        <xdr:cNvPr id="517" name="TextBox 160">
          <a:extLst>
            <a:ext uri="{FF2B5EF4-FFF2-40B4-BE49-F238E27FC236}">
              <a16:creationId xmlns:a16="http://schemas.microsoft.com/office/drawing/2014/main" id="{56E17E2C-F662-4D4B-96FD-7E6A01D8FAF2}"/>
            </a:ext>
          </a:extLst>
        </xdr:cNvPr>
        <xdr:cNvSpPr txBox="1"/>
      </xdr:nvSpPr>
      <xdr:spPr>
        <a:xfrm>
          <a:off x="4409700" y="535016"/>
          <a:ext cx="579783" cy="205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33130</xdr:colOff>
      <xdr:row>3</xdr:row>
      <xdr:rowOff>0</xdr:rowOff>
    </xdr:from>
    <xdr:to>
      <xdr:col>16</xdr:col>
      <xdr:colOff>231913</xdr:colOff>
      <xdr:row>4</xdr:row>
      <xdr:rowOff>56403</xdr:rowOff>
    </xdr:to>
    <xdr:sp macro="" textlink="">
      <xdr:nvSpPr>
        <xdr:cNvPr id="518" name="TextBox 160">
          <a:extLst>
            <a:ext uri="{FF2B5EF4-FFF2-40B4-BE49-F238E27FC236}">
              <a16:creationId xmlns:a16="http://schemas.microsoft.com/office/drawing/2014/main" id="{BA205430-B636-49FA-B558-F6DEE2615723}"/>
            </a:ext>
          </a:extLst>
        </xdr:cNvPr>
        <xdr:cNvSpPr txBox="1"/>
      </xdr:nvSpPr>
      <xdr:spPr>
        <a:xfrm>
          <a:off x="5300869" y="480391"/>
          <a:ext cx="579783" cy="205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27</xdr:col>
      <xdr:colOff>283724</xdr:colOff>
      <xdr:row>55</xdr:row>
      <xdr:rowOff>101330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AD0F13-7C97-F189-75A4-38DDEA98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810638"/>
          <a:ext cx="14409096" cy="820771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-1</xdr:rowOff>
    </xdr:from>
    <xdr:to>
      <xdr:col>28</xdr:col>
      <xdr:colOff>287965</xdr:colOff>
      <xdr:row>62</xdr:row>
      <xdr:rowOff>110755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E926AD-4DF4-FB04-66EF-FE6B90999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5"/>
          <a:ext cx="14863430" cy="863895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1133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1134</v>
      </c>
      <c r="G7" s="528" t="s">
        <v>41</v>
      </c>
      <c r="H7" s="524" t="s">
        <v>1042</v>
      </c>
      <c r="I7" s="524" t="s">
        <v>1136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500</v>
      </c>
      <c r="G14" s="41">
        <f ca="1">IF(ISERROR(OFFSET('HARGA SATUAN'!$I$6,MATCH(C14,'HARGA SATUAN'!$C$7:$C$1495,0),0)),"",OFFSET('HARGA SATUAN'!$I$6,MATCH(C14,'HARGA SATUAN'!$C$7:$C$1495,0),0))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4 x 16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40</v>
      </c>
      <c r="G15" s="41">
        <f ca="1">IF(ISERROR(OFFSET('HARGA SATUAN'!$I$6,MATCH(C15,'HARGA SATUAN'!$C$7:$C$1495,0),0)),"",OFFSET('HARGA SATUAN'!$I$6,MATCH(C15,'HARGA SATUAN'!$C$7:$C$1495,0),0))</f>
        <v>13500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Unit</v>
      </c>
      <c r="F16" s="138">
        <f t="shared" ca="1" si="2"/>
        <v>1</v>
      </c>
      <c r="G16" s="41">
        <f ca="1">IF(ISERROR(OFFSET('HARGA SATUAN'!$I$6,MATCH(C16,'HARGA SATUAN'!$C$7:$C$1495,0),0)),"",OFFSET('HARGA SATUAN'!$I$6,MATCH(C16,'HARGA SATUAN'!$C$7:$C$1495,0),0))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SUMIFS(RAB!$F$14:$F$99,RAB!$C$14:$C$99,C714)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SUMIFS(RAB!$F$14:$F$99,RAB!$C$14:$C$99,C715)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SUMIFS(RAB!$F$14:$F$99,RAB!$C$14:$C$99,C716)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SUMIFS(RAB!$F$14:$F$99,RAB!$C$14:$C$99,C717)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SUMIFS(RAB!$F$14:$F$99,RAB!$C$14:$C$99,C718)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SUMIFS(RAB!$F$14:$F$99,RAB!$C$14:$C$99,C719)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SUMIFS(RAB!$F$14:$F$99,RAB!$C$14:$C$99,C720)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SUMIFS(RAB!$F$14:$F$99,RAB!$C$14:$C$99,C721)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SUMIFS(RAB!$F$14:$F$99,RAB!$C$14:$C$99,C722)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SUMIFS(RAB!$F$14:$F$99,RAB!$C$14:$C$99,C723)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SUMIFS(RAB!$F$14:$F$99,RAB!$C$14:$C$99,C724)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SUMIFS(RAB!$F$14:$F$99,RAB!$C$14:$C$99,C725)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SUMIFS(RAB!$F$14:$F$99,RAB!$C$14:$C$99,C726)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SUMIFS(RAB!$F$14:$F$99,RAB!$C$14:$C$99,C727)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SUMIFS(RAB!$F$14:$F$99,RAB!$C$14:$C$99,C728)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SUMIFS(RAB!$F$14:$F$99,RAB!$C$14:$C$99,C729)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SUMIFS(RAB!$F$14:$F$99,RAB!$C$14:$C$99,C730)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SUMIFS(RAB!$F$14:$F$99,RAB!$C$14:$C$99,C731)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SUMIFS(RAB!$F$14:$F$99,RAB!$C$14:$C$99,C732)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SUMIFS(RAB!$F$14:$F$99,RAB!$C$14:$C$99,C733)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SUMIFS(RAB!$F$14:$F$99,RAB!$C$14:$C$99,C734)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SUMIFS(RAB!$F$14:$F$99,RAB!$C$14:$C$99,C735)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SUMIFS(RAB!$F$14:$F$99,RAB!$C$14:$C$99,C736)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SUMIFS(RAB!$F$14:$F$99,RAB!$C$14:$C$99,C737)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SUMIFS(RAB!$F$14:$F$99,RAB!$C$14:$C$99,C738)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SUMIFS(RAB!$F$14:$F$99,RAB!$C$14:$C$99,C739)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SUMIFS(RAB!$F$14:$F$99,RAB!$C$14:$C$99,C740)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SUMIFS(RAB!$F$14:$F$99,RAB!$C$14:$C$99,C741)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SUMIFS(RAB!$F$14:$F$99,RAB!$C$14:$C$99,C742)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SUMIFS(RAB!$F$14:$F$99,RAB!$C$14:$C$99,C743)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SUMIFS(RAB!$F$14:$F$99,RAB!$C$14:$C$99,C744)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SUMIFS(RAB!$F$14:$F$99,RAB!$C$14:$C$99,C745)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SUMIFS(RAB!$F$14:$F$99,RAB!$C$14:$C$99,C746)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SUMIFS(RAB!$F$14:$F$99,RAB!$C$14:$C$99,C747)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SUMIFS(RAB!$F$14:$F$99,RAB!$C$14:$C$99,C748)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SUMIFS(RAB!$F$14:$F$99,RAB!$C$14:$C$99,C749)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SUMIFS(RAB!$F$14:$F$99,RAB!$C$14:$C$99,C750)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SUMIFS(RAB!$F$14:$F$99,RAB!$C$14:$C$99,C751)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SUMIFS(RAB!$F$14:$F$99,RAB!$C$14:$C$99,C752)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SUMIFS(RAB!$F$14:$F$99,RAB!$C$14:$C$99,C753)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SUMIFS(RAB!$F$14:$F$99,RAB!$C$14:$C$99,C754)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SUMIFS(RAB!$F$14:$F$99,RAB!$C$14:$C$99,C755)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SUMIFS(RAB!$F$14:$F$99,RAB!$C$14:$C$99,C756)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SUMIFS(RAB!$F$14:$F$99,RAB!$C$14:$C$99,C757)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SUMIFS(RAB!$F$14:$F$99,RAB!$C$14:$C$99,C758)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SUMIFS(RAB!$F$14:$F$99,RAB!$C$14:$C$99,C759)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SUMIFS(RAB!$F$14:$F$99,RAB!$C$14:$C$99,C760)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SUMIFS(RAB!$F$14:$F$99,RAB!$C$14:$C$99,C761)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SUMIFS(RAB!$F$14:$F$99,RAB!$C$14:$C$99,C762)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SUMIFS(RAB!$F$14:$F$99,RAB!$C$14:$C$99,C763)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SUMIFS(RAB!$F$14:$F$99,RAB!$C$14:$C$99,C764)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SUMIFS(RAB!$F$14:$F$99,RAB!$C$14:$C$99,C765)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SUMIFS(RAB!$F$14:$F$99,RAB!$C$14:$C$99,C766)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SUMIFS(RAB!$F$14:$F$99,RAB!$C$14:$C$99,C767)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SUMIFS(RAB!$F$14:$F$99,RAB!$C$14:$C$99,C768)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SUMIFS(RAB!$F$14:$F$99,RAB!$C$14:$C$99,C769)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SUMIFS(RAB!$F$14:$F$99,RAB!$C$14:$C$99,C770)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SUMIFS(RAB!$F$14:$F$99,RAB!$C$14:$C$99,C771)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SUMIFS(RAB!$F$14:$F$99,RAB!$C$14:$C$99,C772)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SUMIFS(RAB!$F$14:$F$99,RAB!$C$14:$C$99,C773)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SUMIFS(RAB!$F$14:$F$99,RAB!$C$14:$C$99,C774)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SUMIFS(RAB!$F$14:$F$99,RAB!$C$14:$C$99,C775)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SUMIFS(RAB!$F$14:$F$99,RAB!$C$14:$C$99,C776)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SUMIFS(RAB!$F$14:$F$99,RAB!$C$14:$C$99,C777)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SUMIFS(RAB!$F$14:$F$99,RAB!$C$14:$C$99,C778)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SUMIFS(RAB!$F$14:$F$99,RAB!$C$14:$C$99,C779)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SUMIFS(RAB!$F$14:$F$99,RAB!$C$14:$C$99,C780)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SUMIFS(RAB!$F$14:$F$99,RAB!$C$14:$C$99,C781)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SUMIFS(RAB!$F$14:$F$99,RAB!$C$14:$C$99,C782)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SUMIFS(RAB!$F$14:$F$99,RAB!$C$14:$C$99,C783)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SUMIFS(RAB!$F$14:$F$99,RAB!$C$14:$C$99,C784)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SUMIFS(RAB!$F$14:$F$99,RAB!$C$14:$C$99,C785)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SUMIFS(RAB!$F$14:$F$99,RAB!$C$14:$C$99,C786)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SUMIFS(RAB!$F$14:$F$99,RAB!$C$14:$C$99,C787)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SUMIFS(RAB!$F$14:$F$99,RAB!$C$14:$C$99,C788)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SUMIFS(RAB!$F$14:$F$99,RAB!$C$14:$C$99,C789)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SUMIFS(RAB!$F$14:$F$99,RAB!$C$14:$C$99,C790)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SUMIFS(RAB!$F$14:$F$99,RAB!$C$14:$C$99,C791)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SUMIFS(RAB!$F$14:$F$99,RAB!$C$14:$C$99,C792)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SUMIFS(RAB!$F$14:$F$99,RAB!$C$14:$C$99,C793)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SUMIFS(RAB!$F$14:$F$99,RAB!$C$14:$C$99,C794)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SUMIFS(RAB!$F$14:$F$99,RAB!$C$14:$C$99,C795)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SUMIFS(RAB!$F$14:$F$99,RAB!$C$14:$C$99,C796)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SUMIFS(RAB!$F$14:$F$99,RAB!$C$14:$C$99,C797)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SUMIFS(RAB!$F$14:$F$99,RAB!$C$14:$C$99,C798)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SUMIFS(RAB!$F$14:$F$99,RAB!$C$14:$C$99,C799)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SUMIFS(RAB!$F$14:$F$99,RAB!$C$14:$C$99,C800)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SUMIFS(RAB!$F$14:$F$99,RAB!$C$14:$C$99,C801)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SUMIFS(RAB!$F$14:$F$99,RAB!$C$14:$C$99,C802)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SUMIFS(RAB!$F$14:$F$99,RAB!$C$14:$C$99,C803)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SUMIFS(RAB!$F$14:$F$99,RAB!$C$14:$C$99,C804)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SUMIFS(RAB!$F$14:$F$99,RAB!$C$14:$C$99,C805)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SUMIFS(RAB!$F$14:$F$99,RAB!$C$14:$C$99,C806)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SUMIFS(RAB!$F$14:$F$99,RAB!$C$14:$C$99,C807)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SUMIFS(RAB!$F$14:$F$99,RAB!$C$14:$C$99,C808)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SUMIFS(RAB!$F$14:$F$99,RAB!$C$14:$C$99,C809)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SUMIFS(RAB!$F$14:$F$99,RAB!$C$14:$C$99,C810)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SUMIFS(RAB!$F$14:$F$99,RAB!$C$14:$C$99,C811)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SUMIFS(RAB!$F$14:$F$99,RAB!$C$14:$C$99,C812)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SUMIFS(RAB!$F$14:$F$99,RAB!$C$14:$C$99,C813)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SUMIFS(RAB!$F$14:$F$99,RAB!$C$14:$C$99,C814)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SUMIFS(RAB!$F$14:$F$99,RAB!$C$14:$C$99,C815)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SUMIFS(RAB!$F$14:$F$99,RAB!$C$14:$C$99,C816)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SUMIFS(RAB!$F$14:$F$99,RAB!$C$14:$C$99,C817)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SUMIFS(RAB!$F$14:$F$99,RAB!$C$14:$C$99,C818)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SUMIFS(RAB!$F$14:$F$99,RAB!$C$14:$C$99,C819)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SUMIFS(RAB!$F$14:$F$99,RAB!$C$14:$C$99,C820)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SUMIFS(RAB!$F$14:$F$99,RAB!$C$14:$C$99,C821)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SUMIFS(RAB!$F$14:$F$99,RAB!$C$14:$C$99,C822)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SUMIFS(RAB!$F$14:$F$99,RAB!$C$14:$C$99,C823)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SUMIFS(RAB!$F$14:$F$99,RAB!$C$14:$C$99,C824)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SUMIFS(RAB!$F$14:$F$99,RAB!$C$14:$C$99,C825)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SUMIFS(RAB!$F$14:$F$99,RAB!$C$14:$C$99,C826)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SUMIFS(RAB!$F$14:$F$99,RAB!$C$14:$C$99,C827)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SUMIFS(RAB!$F$14:$F$99,RAB!$C$14:$C$99,C828)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SUMIFS(RAB!$F$14:$F$99,RAB!$C$14:$C$99,C829)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SUMIFS(RAB!$F$14:$F$99,RAB!$C$14:$C$99,C830)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SUMIFS(RAB!$F$14:$F$99,RAB!$C$14:$C$99,C831)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SUMIFS(RAB!$F$14:$F$99,RAB!$C$14:$C$99,C832)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SUMIFS(RAB!$F$14:$F$99,RAB!$C$14:$C$99,C833)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SUMIFS(RAB!$F$14:$F$99,RAB!$C$14:$C$99,C834)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SUMIFS(RAB!$F$14:$F$99,RAB!$C$14:$C$99,C835)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SUMIFS(RAB!$F$14:$F$99,RAB!$C$14:$C$99,C836)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SUMIFS(RAB!$F$14:$F$99,RAB!$C$14:$C$99,C837)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SUMIFS(RAB!$F$14:$F$99,RAB!$C$14:$C$99,C838)</f>
        <v>500</v>
      </c>
      <c r="E838" s="26">
        <f t="shared" ca="1" si="34"/>
        <v>1</v>
      </c>
      <c r="F838" s="26">
        <f ca="1">IF(D838=0,0,SUM($E$713:E838))</f>
        <v>3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SUMIFS(RAB!$F$14:$F$99,RAB!$C$14:$C$99,C839)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SUMIFS(RAB!$F$14:$F$99,RAB!$C$14:$C$99,C840)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SUMIFS(RAB!$F$14:$F$99,RAB!$C$14:$C$99,C841)</f>
        <v>40</v>
      </c>
      <c r="E841" s="26">
        <f t="shared" ca="1" si="34"/>
        <v>1</v>
      </c>
      <c r="F841" s="26">
        <f ca="1">IF(D841=0,0,SUM($E$713:E841))</f>
        <v>4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SUMIFS(RAB!$F$14:$F$99,RAB!$C$14:$C$99,C842)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SUMIFS(RAB!$F$14:$F$99,RAB!$C$14:$C$99,C843)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SUMIFS(RAB!$F$14:$F$99,RAB!$C$14:$C$99,C844)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SUMIFS(RAB!$F$14:$F$99,RAB!$C$14:$C$99,C845)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SUMIFS(RAB!$F$14:$F$99,RAB!$C$14:$C$99,C846)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SUMIFS(RAB!$F$14:$F$99,RAB!$C$14:$C$99,C847)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SUMIFS(RAB!$F$14:$F$99,RAB!$C$14:$C$99,C848)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SUMIFS(RAB!$F$14:$F$99,RAB!$C$14:$C$99,C849)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SUMIFS(RAB!$F$14:$F$99,RAB!$C$14:$C$99,C850)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SUMIFS(RAB!$F$14:$F$99,RAB!$C$14:$C$99,C851)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SUMIFS(RAB!$F$14:$F$99,RAB!$C$14:$C$99,C852)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SUMIFS(RAB!$F$14:$F$99,RAB!$C$14:$C$99,C853)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SUMIFS(RAB!$F$14:$F$99,RAB!$C$14:$C$99,C854)</f>
        <v>1</v>
      </c>
      <c r="E854" s="26">
        <f t="shared" ca="1" si="35"/>
        <v>1</v>
      </c>
      <c r="F854" s="26">
        <f ca="1">IF(D854=0,0,SUM($E$713:E854))</f>
        <v>5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SUMIFS(RAB!$F$14:$F$99,RAB!$C$14:$C$99,C855)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SUMIFS(RAB!$F$14:$F$99,RAB!$C$14:$C$99,C856)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SUMIFS(RAB!$F$14:$F$99,RAB!$C$14:$C$99,C857)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SUMIFS(RAB!$F$14:$F$99,RAB!$C$14:$C$99,C858)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SUMIFS(RAB!$F$14:$F$99,RAB!$C$14:$C$99,C859)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SUMIFS(RAB!$F$14:$F$99,RAB!$C$14:$C$99,C860)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SUMIFS(RAB!$F$14:$F$99,RAB!$C$14:$C$99,C861)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SUMIFS(RAB!$F$14:$F$99,RAB!$C$14:$C$99,C862)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SUMIFS(RAB!$F$14:$F$99,RAB!$C$14:$C$99,C863)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SUMIFS(RAB!$F$14:$F$99,RAB!$C$14:$C$99,C864)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SUMIFS(RAB!$F$14:$F$99,RAB!$C$14:$C$99,C865)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SUMIFS(RAB!$F$14:$F$99,RAB!$C$14:$C$99,C866)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SUMIFS(RAB!$F$14:$F$99,RAB!$C$14:$C$99,C867)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SUMIFS(RAB!$F$14:$F$99,RAB!$C$14:$C$99,C868)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SUMIFS(RAB!$F$14:$F$99,RAB!$C$14:$C$99,C869)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SUMIFS(RAB!$F$14:$F$99,RAB!$C$14:$C$99,C870)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SUMIFS(RAB!$F$14:$F$99,RAB!$C$14:$C$99,C871)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SUMIFS(RAB!$F$14:$F$99,RAB!$C$14:$C$99,C872)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SUMIFS(RAB!$F$14:$F$99,RAB!$C$14:$C$99,C873)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SUMIFS(RAB!$F$14:$F$99,RAB!$C$14:$C$99,C874)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SUMIFS(RAB!$F$14:$F$99,RAB!$C$14:$C$99,C875)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SUMIFS(RAB!$F$14:$F$99,RAB!$C$14:$C$99,C876)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SUMIFS(RAB!$F$14:$F$99,RAB!$C$14:$C$99,C877)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SUMIFS(RAB!$F$14:$F$99,RAB!$C$14:$C$99,C878)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SUMIFS(RAB!$F$14:$F$99,RAB!$C$14:$C$99,C879)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SUMIFS(RAB!$F$14:$F$99,RAB!$C$14:$C$99,C880)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SUMIFS(RAB!$F$14:$F$99,RAB!$C$14:$C$99,C881)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SUMIFS(RAB!$F$14:$F$99,RAB!$C$14:$C$99,C882)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SUMIFS(RAB!$F$14:$F$99,RAB!$C$14:$C$99,C883)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SUMIFS(RAB!$F$14:$F$99,RAB!$C$14:$C$99,C884)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SUMIFS(RAB!$F$14:$F$99,RAB!$C$14:$C$99,C885)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SUMIFS(RAB!$F$14:$F$99,RAB!$C$14:$C$99,C886)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SUMIFS(RAB!$F$14:$F$99,RAB!$C$14:$C$99,C887)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SUMIFS(RAB!$F$14:$F$99,RAB!$C$14:$C$99,C888)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SUMIFS(RAB!$F$14:$F$99,RAB!$C$14:$C$99,C889)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SUMIFS(RAB!$F$14:$F$99,RAB!$C$14:$C$99,C890)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SUMIFS(RAB!$F$14:$F$99,RAB!$C$14:$C$99,C891)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SUMIFS(RAB!$F$14:$F$99,RAB!$C$14:$C$99,C892)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SUMIFS(RAB!$F$14:$F$99,RAB!$C$14:$C$99,C893)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SUMIFS(RAB!$F$14:$F$99,RAB!$C$14:$C$99,C894)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SUMIFS(RAB!$F$14:$F$99,RAB!$C$14:$C$99,C895)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SUMIFS(RAB!$F$14:$F$99,RAB!$C$14:$C$99,C896)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SUMIFS(RAB!$F$14:$F$99,RAB!$C$14:$C$99,C897)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SUMIFS(RAB!$F$14:$F$99,RAB!$C$14:$C$99,C898)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SUMIFS(RAB!$F$14:$F$99,RAB!$C$14:$C$99,C899)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SUMIFS(RAB!$F$14:$F$99,RAB!$C$14:$C$99,C900)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SUMIFS(RAB!$F$14:$F$99,RAB!$C$14:$C$99,C901)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SUMIFS(RAB!$F$14:$F$99,RAB!$C$14:$C$99,C902)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SUMIFS(RAB!$F$14:$F$99,RAB!$C$14:$C$99,C903)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SUMIFS(RAB!$F$14:$F$99,RAB!$C$14:$C$99,C904)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SUMIFS(RAB!$F$14:$F$99,RAB!$C$14:$C$99,C905)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SUMIFS(RAB!$F$14:$F$99,RAB!$C$14:$C$99,C906)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SUMIFS(RAB!$F$14:$F$99,RAB!$C$14:$C$99,C907)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SUMIFS(RAB!$F$14:$F$99,RAB!$C$14:$C$99,C908)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SUMIFS(RAB!$F$14:$F$99,RAB!$C$14:$C$99,C909)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SUMIFS(RAB!$F$14:$F$99,RAB!$C$14:$C$99,C910)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SUMIFS(RAB!$F$14:$F$99,RAB!$C$14:$C$99,C911)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SUMIFS(RAB!$F$14:$F$99,RAB!$C$14:$C$99,C912)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SUMIFS(RAB!$F$14:$F$99,RAB!$C$14:$C$99,C913)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SUMIFS(RAB!$F$14:$F$99,RAB!$C$14:$C$99,C914)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SUMIFS(RAB!$F$14:$F$99,RAB!$C$14:$C$99,C915)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SUMIFS(RAB!$F$14:$F$99,RAB!$C$14:$C$99,C916)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SUMIFS(RAB!$F$14:$F$99,RAB!$C$14:$C$99,C917)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SUMIFS(RAB!$F$14:$F$99,RAB!$C$14:$C$99,C918)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SUMIFS(RAB!$F$14:$F$99,RAB!$C$14:$C$99,C919)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SUMIFS(RAB!$F$14:$F$99,RAB!$C$14:$C$99,C920)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SUMIFS(RAB!$F$14:$F$99,RAB!$C$14:$C$99,C921)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SUMIFS(RAB!$F$14:$F$99,RAB!$C$14:$C$99,C922)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SUMIFS(RAB!$F$14:$F$99,RAB!$C$14:$C$99,C923)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SUMIFS(RAB!$F$14:$F$99,RAB!$C$14:$C$99,C924)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SUMIFS(RAB!$F$14:$F$99,RAB!$C$14:$C$99,C925)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SUMIFS(RAB!$F$14:$F$99,RAB!$C$14:$C$99,C926)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SUMIFS(RAB!$F$14:$F$99,RAB!$C$14:$C$99,C927)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SUMIFS(RAB!$F$14:$F$99,RAB!$C$14:$C$99,C928)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SUMIFS(RAB!$F$14:$F$99,RAB!$C$14:$C$99,C929)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SUMIFS(RAB!$F$14:$F$99,RAB!$C$14:$C$99,C930)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SUMIFS(RAB!$F$14:$F$99,RAB!$C$14:$C$99,C931)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SUMIFS(RAB!$F$14:$F$99,RAB!$C$14:$C$99,C932)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SUMIFS(RAB!$F$14:$F$99,RAB!$C$14:$C$99,C933)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SUMIFS(RAB!$F$14:$F$99,RAB!$C$14:$C$99,C934)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SUMIFS(RAB!$F$14:$F$99,RAB!$C$14:$C$99,C935)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SUMIFS(RAB!$F$14:$F$99,RAB!$C$14:$C$99,C936)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SUMIFS(RAB!$F$14:$F$99,RAB!$C$14:$C$99,C937)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SUMIFS(RAB!$F$14:$F$99,RAB!$C$14:$C$99,C938)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SUMIFS(RAB!$F$14:$F$99,RAB!$C$14:$C$99,C939)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SUMIFS(RAB!$F$14:$F$99,RAB!$C$14:$C$99,C940)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SUMIFS(RAB!$F$14:$F$99,RAB!$C$14:$C$99,C941)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SUMIFS(RAB!$F$14:$F$99,RAB!$C$14:$C$99,C942)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SUMIFS(RAB!$F$14:$F$99,RAB!$C$14:$C$99,C943)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SUMIFS(RAB!$F$14:$F$99,RAB!$C$14:$C$99,C944)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SUMIFS(RAB!$F$14:$F$99,RAB!$C$14:$C$99,C945)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SUMIFS(RAB!$F$14:$F$99,RAB!$C$14:$C$99,C946)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SUMIFS(RAB!$F$14:$F$99,RAB!$C$14:$C$99,C947)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SUMIFS(RAB!$F$14:$F$99,RAB!$C$14:$C$99,C948)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SUMIFS(RAB!$F$14:$F$99,RAB!$C$14:$C$99,C949)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SUMIFS(RAB!$F$14:$F$99,RAB!$C$14:$C$99,C950)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SUMIFS(RAB!$F$14:$F$99,RAB!$C$14:$C$99,C951)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SUMIFS(RAB!$F$14:$F$99,RAB!$C$14:$C$99,C952)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SUMIFS(RAB!$F$14:$F$99,RAB!$C$14:$C$99,C953)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SUMIFS(RAB!$F$14:$F$99,RAB!$C$14:$C$99,C954)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SUMIFS(RAB!$F$14:$F$99,RAB!$C$14:$C$99,C955)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SUMIFS(RAB!$F$14:$F$99,RAB!$C$14:$C$99,C956)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SUMIFS(RAB!$F$14:$F$99,RAB!$C$14:$C$99,C957)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SUMIFS(RAB!$F$14:$F$99,RAB!$C$14:$C$99,C958)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SUMIFS(RAB!$F$14:$F$99,RAB!$C$14:$C$99,C959)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SUMIFS(RAB!$F$14:$F$99,RAB!$C$14:$C$99,C960)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SUMIFS(RAB!$F$14:$F$99,RAB!$C$14:$C$99,C961)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SUMIFS(RAB!$F$14:$F$99,RAB!$C$14:$C$99,C962)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SUMIFS(RAB!$F$14:$F$99,RAB!$C$14:$C$99,C963)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SUMIFS(RAB!$F$14:$F$99,RAB!$C$14:$C$99,C964)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SUMIFS(RAB!$F$14:$F$99,RAB!$C$14:$C$99,C965)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SUMIFS(RAB!$F$14:$F$99,RAB!$C$14:$C$99,C966)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SUMIFS(RAB!$F$14:$F$99,RAB!$C$14:$C$99,C967)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SUMIFS(RAB!$F$14:$F$99,RAB!$C$14:$C$99,C968)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SUMIFS(RAB!$F$14:$F$99,RAB!$C$14:$C$99,C969)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SUMIFS(RAB!$F$14:$F$99,RAB!$C$14:$C$99,C970)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SUMIFS(RAB!$F$14:$F$99,RAB!$C$14:$C$99,C971)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SUMIFS(RAB!$F$14:$F$99,RAB!$C$14:$C$99,C972)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SUMIFS(RAB!$F$14:$F$99,RAB!$C$14:$C$99,C973)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SUMIFS(RAB!$F$14:$F$99,RAB!$C$14:$C$99,C974)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SUMIFS(RAB!$F$14:$F$99,RAB!$C$14:$C$99,C975)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SUMIFS(RAB!$F$14:$F$99,RAB!$C$14:$C$99,C976)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SUMIFS(RAB!$F$14:$F$99,RAB!$C$14:$C$99,C977)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SUMIFS(RAB!$F$14:$F$99,RAB!$C$14:$C$99,C978)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SUMIFS(RAB!$F$14:$F$99,RAB!$C$14:$C$99,C979)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SUMIFS(RAB!$F$14:$F$99,RAB!$C$14:$C$99,C980)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SUMIFS(RAB!$F$14:$F$99,RAB!$C$14:$C$99,C981)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SUMIFS(RAB!$F$14:$F$99,RAB!$C$14:$C$99,C982)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SUMIFS(RAB!$F$14:$F$99,RAB!$C$14:$C$99,C983)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SUMIFS(RAB!$F$14:$F$99,RAB!$C$14:$C$99,C984)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SUMIFS(RAB!$F$14:$F$99,RAB!$C$14:$C$99,C985)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SUMIFS(RAB!$F$14:$F$99,RAB!$C$14:$C$99,C986)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SUMIFS(RAB!$F$14:$F$99,RAB!$C$14:$C$99,C987)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SUMIFS(RAB!$F$14:$F$99,RAB!$C$14:$C$99,C988)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SUMIFS(RAB!$F$14:$F$99,RAB!$C$14:$C$99,C989)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SUMIFS(RAB!$F$14:$F$99,RAB!$C$14:$C$99,C990)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SUMIFS(RAB!$F$14:$F$99,RAB!$C$14:$C$99,C991)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SUMIFS(RAB!$F$14:$F$99,RAB!$C$14:$C$99,C992)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SUMIFS(RAB!$F$14:$F$99,RAB!$C$14:$C$99,C993)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SUMIFS(RAB!$F$14:$F$99,RAB!$C$14:$C$99,C994)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SUMIFS(RAB!$F$14:$F$99,RAB!$C$14:$C$99,C995)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SUMIFS(RAB!$F$14:$F$99,RAB!$C$14:$C$99,C996)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SUMIFS(RAB!$F$14:$F$99,RAB!$C$14:$C$99,C997)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SUMIFS(RAB!$F$14:$F$99,RAB!$C$14:$C$99,C998)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SUMIFS(RAB!$F$14:$F$99,RAB!$C$14:$C$99,C999)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SUMIFS(RAB!$F$14:$F$99,RAB!$C$14:$C$99,C1000)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SUMIFS(RAB!$F$14:$F$99,RAB!$C$14:$C$99,C1001)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SUMIFS(RAB!$F$14:$F$99,RAB!$C$14:$C$99,C1002)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SUMIFS(RAB!$F$14:$F$99,RAB!$C$14:$C$99,C1003)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SUMIFS(RAB!$F$14:$F$99,RAB!$C$14:$C$99,C1004)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SUMIFS(RAB!$F$14:$F$99,RAB!$C$14:$C$99,C1005)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SUMIFS(RAB!$F$14:$F$99,RAB!$C$14:$C$99,C1006)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SUMIFS(RAB!$F$14:$F$99,RAB!$C$14:$C$99,C1007)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SUMIFS(RAB!$F$14:$F$99,RAB!$C$14:$C$99,C1008)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SUMIFS(RAB!$F$14:$F$99,RAB!$C$14:$C$99,C1009)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SUMIFS(RAB!$F$14:$F$99,RAB!$C$14:$C$99,C1010)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SUMIFS(RAB!$F$14:$F$99,RAB!$C$14:$C$99,C1011)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SUMIFS(RAB!$F$14:$F$99,RAB!$C$14:$C$99,C1012)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SUMIFS(RAB!$F$14:$F$99,RAB!$C$14:$C$99,C1013)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SUMIFS(RAB!$F$14:$F$99,RAB!$C$14:$C$99,C1014)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SUMIFS(RAB!$F$14:$F$99,RAB!$C$14:$C$99,C1015)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SUMIFS(RAB!$F$14:$F$99,RAB!$C$14:$C$99,C1016)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SUMIFS(RAB!$F$14:$F$99,RAB!$C$14:$C$99,C1017)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SUMIFS(RAB!$F$14:$F$99,RAB!$C$14:$C$99,C1018)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SUMIFS(RAB!$F$14:$F$99,RAB!$C$14:$C$99,C1019)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SUMIFS(RAB!$F$14:$F$99,RAB!$C$14:$C$99,C1020)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SUMIFS(RAB!$F$14:$F$99,RAB!$C$14:$C$99,C1021)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SUMIFS(RAB!$F$14:$F$99,RAB!$C$14:$C$99,C1022)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SUMIFS(RAB!$F$14:$F$99,RAB!$C$14:$C$99,C1023)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SUMIFS(RAB!$F$14:$F$99,RAB!$C$14:$C$99,C1024)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SUMIFS(RAB!$F$14:$F$99,RAB!$C$14:$C$99,C1025)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SUMIFS(RAB!$F$14:$F$99,RAB!$C$14:$C$99,C1026)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SUMIFS(RAB!$F$14:$F$99,RAB!$C$14:$C$99,C1027)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SUMIFS(RAB!$F$14:$F$99,RAB!$C$14:$C$99,C1028)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SUMIFS(RAB!$F$14:$F$99,RAB!$C$14:$C$99,C1029)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SUMIFS(RAB!$F$14:$F$99,RAB!$C$14:$C$99,C1030)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SUMIFS(RAB!$F$14:$F$99,RAB!$C$14:$C$99,C1031)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SUMIFS(RAB!$F$14:$F$99,RAB!$C$14:$C$99,C1032)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SUMIFS(RAB!$F$14:$F$99,RAB!$C$14:$C$99,C1033)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SUMIFS(RAB!$F$14:$F$99,RAB!$C$14:$C$99,C1034)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SUMIFS(RAB!$F$14:$F$99,RAB!$C$14:$C$99,C1035)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SUMIFS(RAB!$F$14:$F$99,RAB!$C$14:$C$99,C1036)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SUMIFS(RAB!$F$14:$F$99,RAB!$C$14:$C$99,C1037)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SUMIFS(RAB!$F$14:$F$99,RAB!$C$14:$C$99,C1038)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SUMIFS(RAB!$F$14:$F$99,RAB!$C$14:$C$99,C1039)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SUMIFS(RAB!$F$14:$F$99,RAB!$C$14:$C$99,C1040)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SUMIFS(RAB!$F$14:$F$99,RAB!$C$14:$C$99,C1041)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SUMIFS(RAB!$F$14:$F$99,RAB!$C$14:$C$99,C1042)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SUMIFS(RAB!$F$14:$F$99,RAB!$C$14:$C$99,C1043)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SUMIFS(RAB!$F$14:$F$99,RAB!$C$14:$C$99,C1044)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SUMIFS(RAB!$F$14:$F$99,RAB!$C$14:$C$99,C1045)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SUMIFS(RAB!$F$14:$F$99,RAB!$C$14:$C$99,C1046)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SUMIFS(RAB!$F$14:$F$99,RAB!$C$14:$C$99,C1047)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SUMIFS(RAB!$F$14:$F$99,RAB!$C$14:$C$99,C1048)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SUMIFS(RAB!$F$14:$F$99,RAB!$C$14:$C$99,C1049)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SUMIFS(RAB!$F$14:$F$99,RAB!$C$14:$C$99,C1050)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SUMIFS(RAB!$F$14:$F$99,RAB!$C$14:$C$99,C1051)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SUMIFS(RAB!$F$14:$F$99,RAB!$C$14:$C$99,C1052)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SUMIFS(RAB!$F$14:$F$99,RAB!$C$14:$C$99,C1053)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SUMIFS(RAB!$F$14:$F$99,RAB!$C$14:$C$99,C1054)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SUMIFS(RAB!$F$14:$F$99,RAB!$C$14:$C$99,C1055)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SUMIFS(RAB!$F$14:$F$99,RAB!$C$14:$C$99,C1056)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SUMIFS(RAB!$F$14:$F$99,RAB!$C$14:$C$99,C1057)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SUMIFS(RAB!$F$14:$F$99,RAB!$C$14:$C$99,C1058)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SUMIFS(RAB!$F$14:$F$99,RAB!$C$14:$C$99,C1059)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SUMIFS(RAB!$F$14:$F$99,RAB!$C$14:$C$99,C1060)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SUMIFS(RAB!$F$14:$F$99,RAB!$C$14:$C$99,C1061)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SUMIFS(RAB!$F$14:$F$99,RAB!$C$14:$C$99,C1062)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SUMIFS(RAB!$F$14:$F$99,RAB!$C$14:$C$99,C1063)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SUMIFS(RAB!$F$14:$F$99,RAB!$C$14:$C$99,C1064)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SUMIFS(RAB!$F$14:$F$99,RAB!$C$14:$C$99,C1065)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SUMIFS(RAB!$F$14:$F$99,RAB!$C$14:$C$99,C1066)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SUMIFS(RAB!$F$14:$F$99,RAB!$C$14:$C$99,C1067)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SUMIFS(RAB!$F$14:$F$99,RAB!$C$14:$C$99,C1068)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SUMIFS(RAB!$F$14:$F$99,RAB!$C$14:$C$99,C1069)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SUMIFS(RAB!$F$14:$F$99,RAB!$C$14:$C$99,C1070)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SUMIFS(RAB!$F$14:$F$99,RAB!$C$14:$C$99,C1071)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SUMIFS(RAB!$F$14:$F$99,RAB!$C$14:$C$99,C1072)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SUMIFS(RAB!$F$14:$F$99,RAB!$C$14:$C$99,C1073)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SUMIFS(RAB!$F$14:$F$99,RAB!$C$14:$C$99,C1074)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SUMIFS(RAB!$F$14:$F$99,RAB!$C$14:$C$99,C1075)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SUMIFS(RAB!$F$14:$F$99,RAB!$C$14:$C$99,C1076)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SUMIFS(RAB!$F$14:$F$99,RAB!$C$14:$C$99,C1077)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SUMIFS(RAB!$F$14:$F$99,RAB!$C$14:$C$99,C1078)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SUMIFS(RAB!$F$14:$F$99,RAB!$C$14:$C$99,C1079)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SUMIFS(RAB!$F$14:$F$99,RAB!$C$14:$C$99,C1080)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SUMIFS(RAB!$F$14:$F$99,RAB!$C$14:$C$99,C1081)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SUMIFS(RAB!$F$14:$F$99,RAB!$C$14:$C$99,C1082)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SUMIFS(RAB!$F$14:$F$99,RAB!$C$14:$C$99,C1083)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SUMIFS(RAB!$F$14:$F$99,RAB!$C$14:$C$99,C1084)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SUMIFS(RAB!$F$14:$F$99,RAB!$C$14:$C$99,C1085)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SUMIFS(RAB!$F$14:$F$99,RAB!$C$14:$C$99,C1086)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SUMIFS(RAB!$F$14:$F$99,RAB!$C$14:$C$99,C1087)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SUMIFS(RAB!$F$14:$F$99,RAB!$C$14:$C$99,C1088)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SUMIFS(RAB!$F$14:$F$99,RAB!$C$14:$C$99,C1089)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SUMIFS(RAB!$F$14:$F$99,RAB!$C$14:$C$99,C1090)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SUMIFS(RAB!$F$14:$F$99,RAB!$C$14:$C$99,C1091)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SUMIFS(RAB!$F$14:$F$99,RAB!$C$14:$C$99,C1092)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SUMIFS(RAB!$F$14:$F$99,RAB!$C$14:$C$99,C1093)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SUMIFS(RAB!$F$14:$F$99,RAB!$C$14:$C$99,C1094)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SUMIFS(RAB!$F$14:$F$99,RAB!$C$14:$C$99,C1095)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SUMIFS(RAB!$F$14:$F$99,RAB!$C$14:$C$99,C1096)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SUMIFS(RAB!$F$14:$F$99,RAB!$C$14:$C$99,C1097)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SUMIFS(RAB!$F$14:$F$99,RAB!$C$14:$C$99,C1098)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SUMIFS(RAB!$F$14:$F$99,RAB!$C$14:$C$99,C1099)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SUMIFS(RAB!$F$14:$F$99,RAB!$C$14:$C$99,C1100)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SUMIFS(RAB!$F$14:$F$99,RAB!$C$14:$C$99,C1101)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SUMIFS(RAB!$F$14:$F$99,RAB!$C$14:$C$99,C1102)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SUMIFS(RAB!$F$14:$F$99,RAB!$C$14:$C$99,C1103)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SUMIFS(RAB!$F$14:$F$99,RAB!$C$14:$C$99,C1104)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SUMIFS(RAB!$F$14:$F$99,RAB!$C$14:$C$99,C1105)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SUMIFS(RAB!$F$14:$F$99,RAB!$C$14:$C$99,C1106)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SUMIFS(RAB!$F$14:$F$99,RAB!$C$14:$C$99,C1107)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SUMIFS(RAB!$F$14:$F$99,RAB!$C$14:$C$99,C1108)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SUMIFS(RAB!$F$14:$F$99,RAB!$C$14:$C$99,C1109)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SUMIFS(RAB!$F$14:$F$99,RAB!$C$14:$C$99,C1110)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SUMIFS(RAB!$F$14:$F$99,RAB!$C$14:$C$99,C1111)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SUMIFS(RAB!$F$14:$F$99,RAB!$C$14:$C$99,C1112)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SUMIFS(RAB!$F$14:$F$99,RAB!$C$14:$C$99,C1113)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SUMIFS(RAB!$F$14:$F$99,RAB!$C$14:$C$99,C1114)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SUMIFS(RAB!$F$14:$F$99,RAB!$C$14:$C$99,C1115)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SUMIFS(RAB!$F$14:$F$99,RAB!$C$14:$C$99,C1116)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SUMIFS(RAB!$F$14:$F$99,RAB!$C$14:$C$99,C1117)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SUMIFS(RAB!$F$14:$F$99,RAB!$C$14:$C$99,C1118)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SUMIFS(RAB!$F$14:$F$99,RAB!$C$14:$C$99,C1119)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SUMIFS(RAB!$F$14:$F$99,RAB!$C$14:$C$99,C1120)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SUMIFS(RAB!$F$14:$F$99,RAB!$C$14:$C$99,C1121)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SUMIFS(RAB!$F$14:$F$99,RAB!$C$14:$C$99,C1122)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SUMIFS(RAB!$F$14:$F$99,RAB!$C$14:$C$99,C1123)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SUMIFS(RAB!$F$14:$F$99,RAB!$C$14:$C$99,C1124)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SUMIFS(RAB!$F$14:$F$99,RAB!$C$14:$C$99,C1125)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SUMIFS(RAB!$F$14:$F$99,RAB!$C$14:$C$99,C1126)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SUMIFS(RAB!$F$14:$F$99,RAB!$C$14:$C$99,C1127)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SUMIFS(RAB!$F$14:$F$99,RAB!$C$14:$C$99,C1128)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SUMIFS(RAB!$F$14:$F$99,RAB!$C$14:$C$99,C1129)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SUMIFS(RAB!$F$14:$F$99,RAB!$C$14:$C$99,C1130)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SUMIFS(RAB!$F$14:$F$99,RAB!$C$14:$C$99,C1131)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SUMIFS(RAB!$F$14:$F$99,RAB!$C$14:$C$99,C1132)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SUMIFS(RAB!$F$14:$F$99,RAB!$C$14:$C$99,C1133)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SUMIFS(RAB!$F$14:$F$99,RAB!$C$14:$C$99,C1134)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SUMIFS(RAB!$F$14:$F$99,RAB!$C$14:$C$99,C1135)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SUMIFS(RAB!$F$14:$F$99,RAB!$C$14:$C$99,C1136)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SUMIFS(RAB!$F$14:$F$99,RAB!$C$14:$C$99,C1137)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SUMIFS(RAB!$F$14:$F$99,RAB!$C$14:$C$99,C1138)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SUMIFS(RAB!$F$14:$F$99,RAB!$C$14:$C$99,C1139)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SUMIFS(RAB!$F$14:$F$99,RAB!$C$14:$C$99,C1140)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SUMIFS(RAB!$F$14:$F$99,RAB!$C$14:$C$99,C1141)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SUMIFS(RAB!$F$14:$F$99,RAB!$C$14:$C$99,C1142)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SUMIFS(RAB!$F$14:$F$99,RAB!$C$14:$C$99,C1143)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SUMIFS(RAB!$F$14:$F$99,RAB!$C$14:$C$99,C1144)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SUMIFS(RAB!$F$14:$F$99,RAB!$C$14:$C$99,C1145)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SUMIFS(RAB!$F$14:$F$99,RAB!$C$14:$C$99,C1146)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SUMIFS(RAB!$F$14:$F$99,RAB!$C$14:$C$99,C1147)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SUMIFS(RAB!$F$14:$F$99,RAB!$C$14:$C$99,C1148)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SUMIFS(RAB!$F$14:$F$99,RAB!$C$14:$C$99,C1149)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SUMIFS(RAB!$F$14:$F$99,RAB!$C$14:$C$99,C1150)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SUMIFS(RAB!$F$14:$F$99,RAB!$C$14:$C$99,C1151)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SUMIFS(RAB!$F$14:$F$99,RAB!$C$14:$C$99,C1152)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SUMIFS(RAB!$F$14:$F$99,RAB!$C$14:$C$99,C1153)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SUMIFS(RAB!$F$14:$F$99,RAB!$C$14:$C$99,C1154)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SUMIFS(RAB!$F$14:$F$99,RAB!$C$14:$C$99,C1155)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SUMIFS(RAB!$F$14:$F$99,RAB!$C$14:$C$99,C1156)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SUMIFS(RAB!$F$14:$F$99,RAB!$C$14:$C$99,C1157)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SUMIFS(RAB!$F$14:$F$99,RAB!$C$14:$C$99,C1158)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SUMIFS(RAB!$F$14:$F$99,RAB!$C$14:$C$99,C1159)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SUMIFS(RAB!$F$14:$F$99,RAB!$C$14:$C$99,C1160)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SUMIFS(RAB!$F$14:$F$99,RAB!$C$14:$C$99,C1161)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SUMIFS(RAB!$F$14:$F$99,RAB!$C$14:$C$99,C1162)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SUMIFS(RAB!$F$14:$F$99,RAB!$C$14:$C$99,C1163)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SUMIFS(RAB!$F$14:$F$99,RAB!$C$14:$C$99,C1164)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SUMIFS(RAB!$F$14:$F$99,RAB!$C$14:$C$99,C1165)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SUMIFS(RAB!$F$14:$F$99,RAB!$C$14:$C$99,C1166)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SUMIFS(RAB!$F$14:$F$99,RAB!$C$14:$C$99,C1167)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SUMIFS(RAB!$F$14:$F$99,RAB!$C$14:$C$99,C1168)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SUMIFS(RAB!$F$14:$F$99,RAB!$C$14:$C$99,C1169)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SUMIFS(RAB!$F$14:$F$99,RAB!$C$14:$C$99,C1170)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SUMIFS(RAB!$F$14:$F$99,RAB!$C$14:$C$99,C1171)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SUMIFS(RAB!$F$14:$F$99,RAB!$C$14:$C$99,C1172)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SUMIFS(RAB!$F$14:$F$99,RAB!$C$14:$C$99,C1173)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SUMIFS(RAB!$F$14:$F$99,RAB!$C$14:$C$99,C1174)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SUMIFS(RAB!$F$14:$F$99,RAB!$C$14:$C$99,C1175)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SUMIFS(RAB!$F$14:$F$99,RAB!$C$14:$C$99,C1176)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SUMIFS(RAB!$F$14:$F$99,RAB!$C$14:$C$99,C1177)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SUMIFS(RAB!$F$14:$F$99,RAB!$C$14:$C$99,C1178)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SUMIFS(RAB!$F$14:$F$99,RAB!$C$14:$C$99,C1179)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SUMIFS(RAB!$F$14:$F$99,RAB!$C$14:$C$99,C1180)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SUMIFS(RAB!$F$14:$F$99,RAB!$C$14:$C$99,C1181)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SUMIFS(RAB!$F$14:$F$99,RAB!$C$14:$C$99,C1182)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SUMIFS(RAB!$F$14:$F$99,RAB!$C$14:$C$99,C1183)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SUMIFS(RAB!$F$14:$F$99,RAB!$C$14:$C$99,C1184)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SUMIFS(RAB!$F$14:$F$99,RAB!$C$14:$C$99,C1185)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SUMIFS(RAB!$F$14:$F$99,RAB!$C$14:$C$99,C1186)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SUMIFS(RAB!$F$14:$F$99,RAB!$C$14:$C$99,C1187)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SUMIFS(RAB!$F$14:$F$99,RAB!$C$14:$C$99,C1188)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SUMIFS(RAB!$F$14:$F$99,RAB!$C$14:$C$99,C1189)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SUMIFS(RAB!$F$14:$F$99,RAB!$C$14:$C$99,C1190)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SUMIFS(RAB!$F$14:$F$99,RAB!$C$14:$C$99,C1191)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SUMIFS(RAB!$F$14:$F$99,RAB!$C$14:$C$99,C1192)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SUMIFS(RAB!$F$14:$F$99,RAB!$C$14:$C$99,C1193)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SUMIFS(RAB!$F$14:$F$99,RAB!$C$14:$C$99,C1194)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SUMIFS(RAB!$F$14:$F$99,RAB!$C$14:$C$99,C1195)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SUMIFS(RAB!$F$14:$F$99,RAB!$C$14:$C$99,C1196)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SUMIFS(RAB!$F$14:$F$99,RAB!$C$14:$C$99,C1197)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SUMIFS(RAB!$F$14:$F$99,RAB!$C$14:$C$99,C1198)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SUMIFS(RAB!$F$14:$F$99,RAB!$C$14:$C$99,C1199)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SUMIFS(RAB!$F$14:$F$99,RAB!$C$14:$C$99,C1200)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SUMIFS(RAB!$F$14:$F$99,RAB!$C$14:$C$99,C1201)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SUMIFS(RAB!$F$14:$F$99,RAB!$C$14:$C$99,C1202)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SUMIFS(RAB!$F$14:$F$99,RAB!$C$14:$C$99,C1203)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SUMIFS(RAB!$F$14:$F$99,RAB!$C$14:$C$99,C1204)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SUMIFS(RAB!$F$14:$F$99,RAB!$C$14:$C$99,C1205)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SUMIFS(RAB!$F$14:$F$99,RAB!$C$14:$C$99,C1206)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SUMIFS(RAB!$F$14:$F$99,RAB!$C$14:$C$99,C1207)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SUMIFS(RAB!$F$14:$F$99,RAB!$C$14:$C$99,C1208)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SUMIFS(RAB!$F$14:$F$99,RAB!$C$14:$C$99,C1209)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SUMIFS(RAB!$F$14:$F$99,RAB!$C$14:$C$99,C1210)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SUMIFS(RAB!$F$14:$F$99,RAB!$C$14:$C$99,C1211)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SUMIFS(RAB!$F$14:$F$99,RAB!$C$14:$C$99,C1212)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SUMIFS(RAB!$F$14:$F$99,RAB!$C$14:$C$99,C1213)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SUMIFS(RAB!$F$14:$F$99,RAB!$C$14:$C$99,C1214)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SUMIFS(RAB!$F$14:$F$99,RAB!$C$14:$C$99,C1215)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SUMIFS(RAB!$F$14:$F$99,RAB!$C$14:$C$99,C1216)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SUMIFS(RAB!$F$14:$F$99,RAB!$C$14:$C$99,C1217)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SUMIFS(RAB!$F$14:$F$99,RAB!$C$14:$C$99,C1218)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SUMIFS(RAB!$F$14:$F$99,RAB!$C$14:$C$99,C1219)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SUMIFS(RAB!$F$14:$F$99,RAB!$C$14:$C$99,C1220)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SUMIFS(RAB!$F$14:$F$99,RAB!$C$14:$C$99,C1221)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SUMIFS(RAB!$F$14:$F$99,RAB!$C$14:$C$99,C1222)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SUMIFS(RAB!$F$14:$F$99,RAB!$C$14:$C$99,C1223)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SUMIFS(RAB!$F$14:$F$99,RAB!$C$14:$C$99,C1224)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SUMIFS(RAB!$F$14:$F$99,RAB!$C$14:$C$99,C1225)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SUMIFS(RAB!$F$14:$F$99,RAB!$C$14:$C$99,C1226)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SUMIFS(RAB!$F$14:$F$99,RAB!$C$14:$C$99,C1227)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SUMIFS(RAB!$F$14:$F$99,RAB!$C$14:$C$99,C1228)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SUMIFS(RAB!$F$14:$F$99,RAB!$C$14:$C$99,C1229)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SUMIFS(RAB!$F$14:$F$99,RAB!$C$14:$C$99,C1230)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SUMIFS(RAB!$F$14:$F$99,RAB!$C$14:$C$99,C1231)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SUMIFS(RAB!$F$14:$F$99,RAB!$C$14:$C$99,C1232)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SUMIFS(RAB!$F$14:$F$99,RAB!$C$14:$C$99,C1233)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SUMIFS(RAB!$F$14:$F$99,RAB!$C$14:$C$99,C1234)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SUMIFS(RAB!$F$14:$F$99,RAB!$C$14:$C$99,C1235)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SUMIFS(RAB!$F$14:$F$99,RAB!$C$14:$C$99,C1236)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SUMIFS(RAB!$F$14:$F$99,RAB!$C$14:$C$99,C1237)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SUMIFS(RAB!$F$14:$F$99,RAB!$C$14:$C$99,C1238)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SUMIFS(RAB!$F$14:$F$99,RAB!$C$14:$C$99,C1239)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SUMIFS(RAB!$F$14:$F$99,RAB!$C$14:$C$99,C1240)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SUMIFS(RAB!$F$14:$F$99,RAB!$C$14:$C$99,C1241)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SUMIFS(RAB!$F$14:$F$99,RAB!$C$14:$C$99,C1242)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SUMIFS(RAB!$F$14:$F$99,RAB!$C$14:$C$99,C1243)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SUMIFS(RAB!$F$14:$F$99,RAB!$C$14:$C$99,C1244)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SUMIFS(RAB!$F$14:$F$99,RAB!$C$14:$C$99,C1245)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SUMIFS(RAB!$F$14:$F$99,RAB!$C$14:$C$99,C1246)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SUMIFS(RAB!$F$14:$F$99,RAB!$C$14:$C$99,C1247)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SUMIFS(RAB!$F$14:$F$99,RAB!$C$14:$C$99,C1248)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SUMIFS(RAB!$F$14:$F$99,RAB!$C$14:$C$99,C1249)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SUMIFS(RAB!$F$14:$F$99,RAB!$C$14:$C$99,C1250)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SUMIFS(RAB!$F$14:$F$99,RAB!$C$14:$C$99,C1251)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SUMIFS(RAB!$F$14:$F$99,RAB!$C$14:$C$99,C1252)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SUMIFS(RAB!$F$14:$F$99,RAB!$C$14:$C$99,C1253)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SUMIFS(RAB!$F$14:$F$99,RAB!$C$14:$C$99,C1254)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SUMIFS(RAB!$F$14:$F$99,RAB!$C$14:$C$99,C1255)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SUMIFS(RAB!$F$14:$F$99,RAB!$C$14:$C$99,C1256)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SUMIFS(RAB!$F$14:$F$99,RAB!$C$14:$C$99,C1257)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SUMIFS(RAB!$F$14:$F$99,RAB!$C$14:$C$99,C1258)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SUMIFS(RAB!$F$14:$F$99,RAB!$C$14:$C$99,C1259)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SUMIFS(RAB!$F$14:$F$99,RAB!$C$14:$C$99,C1260)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SUMIFS(RAB!$F$14:$F$99,RAB!$C$14:$C$99,C1261)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SUMIFS(RAB!$F$14:$F$99,RAB!$C$14:$C$99,C1262)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SUMIFS(RAB!$F$14:$F$99,RAB!$C$14:$C$99,C1263)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SUMIFS(RAB!$F$14:$F$99,RAB!$C$14:$C$99,C1264)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SUMIFS(RAB!$F$14:$F$99,RAB!$C$14:$C$99,C1265)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SUMIFS(RAB!$F$14:$F$99,RAB!$C$14:$C$99,C1266)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SUMIFS(RAB!$F$14:$F$99,RAB!$C$14:$C$99,C1267)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SUMIFS(RAB!$F$14:$F$99,RAB!$C$14:$C$99,C1268)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SUMIFS(RAB!$F$14:$F$99,RAB!$C$14:$C$99,C1269)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SUMIFS(RAB!$F$14:$F$99,RAB!$C$14:$C$99,C1270)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SUMIFS(RAB!$F$14:$F$99,RAB!$C$14:$C$99,C1271)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SUMIFS(RAB!$F$14:$F$99,RAB!$C$14:$C$99,C1272)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SUMIFS(RAB!$F$14:$F$99,RAB!$C$14:$C$99,C1273)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SUMIFS(RAB!$F$14:$F$99,RAB!$C$14:$C$99,C1274)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SUMIFS(RAB!$F$14:$F$99,RAB!$C$14:$C$99,C1275)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SUMIFS(RAB!$F$14:$F$99,RAB!$C$14:$C$99,C1276)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SUMIFS(RAB!$F$14:$F$99,RAB!$C$14:$C$99,C1277)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SUMIFS(RAB!$F$14:$F$99,RAB!$C$14:$C$99,C1278)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SUMIFS(RAB!$F$14:$F$99,RAB!$C$14:$C$99,C1279)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SUMIFS(RAB!$F$14:$F$99,RAB!$C$14:$C$99,C1280)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SUMIFS(RAB!$F$14:$F$99,RAB!$C$14:$C$99,C1281)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SUMIFS(RAB!$F$14:$F$99,RAB!$C$14:$C$99,C1282)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SUMIFS(RAB!$F$14:$F$99,RAB!$C$14:$C$99,C1283)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SUMIFS(RAB!$F$14:$F$99,RAB!$C$14:$C$99,C1284)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SUMIFS(RAB!$F$14:$F$99,RAB!$C$14:$C$99,C1285)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SUMIFS(RAB!$F$14:$F$99,RAB!$C$14:$C$99,C1286)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SUMIFS(RAB!$F$14:$F$99,RAB!$C$14:$C$99,C1287)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SUMIFS(RAB!$F$14:$F$99,RAB!$C$14:$C$99,C1288)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SUMIFS(RAB!$F$14:$F$99,RAB!$C$14:$C$99,C1289)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SUMIFS(RAB!$F$14:$F$99,RAB!$C$14:$C$99,C1290)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SUMIFS(RAB!$F$14:$F$99,RAB!$C$14:$C$99,C1291)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SUMIFS(RAB!$F$14:$F$99,RAB!$C$14:$C$99,C1292)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SUMIFS(RAB!$F$14:$F$99,RAB!$C$14:$C$99,C1293)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SUMIFS(RAB!$F$14:$F$99,RAB!$C$14:$C$99,C1294)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SUMIFS(RAB!$F$14:$F$99,RAB!$C$14:$C$99,C1295)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SUMIFS(RAB!$F$14:$F$99,RAB!$C$14:$C$99,C1296)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SUMIFS(RAB!$F$14:$F$99,RAB!$C$14:$C$99,C1297)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SUMIFS(RAB!$F$14:$F$99,RAB!$C$14:$C$99,C1298)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SUMIFS(RAB!$F$14:$F$99,RAB!$C$14:$C$99,C1299)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SUMIFS(RAB!$F$14:$F$99,RAB!$C$14:$C$99,C1300)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SUMIFS(RAB!$F$14:$F$99,RAB!$C$14:$C$99,C1301)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SUMIFS(RAB!$F$14:$F$99,RAB!$C$14:$C$99,C1302)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SUMIFS(RAB!$F$14:$F$99,RAB!$C$14:$C$99,C1303)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SUMIFS(RAB!$F$14:$F$99,RAB!$C$14:$C$99,C1304)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SUMIFS(RAB!$F$14:$F$99,RAB!$C$14:$C$99,C1305)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SUMIFS(RAB!$F$14:$F$99,RAB!$C$14:$C$99,C1306)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SUMIFS(RAB!$F$14:$F$99,RAB!$C$14:$C$99,C1307)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SUMIFS(RAB!$F$14:$F$99,RAB!$C$14:$C$99,C1308)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SUMIFS(RAB!$F$14:$F$99,RAB!$C$14:$C$99,C1309)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SUMIFS(RAB!$F$14:$F$99,RAB!$C$14:$C$99,C1310)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SUMIFS(RAB!$F$14:$F$99,RAB!$C$14:$C$99,C1311)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SUMIFS(RAB!$F$14:$F$99,RAB!$C$14:$C$99,C1312)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SUMIFS(RAB!$F$14:$F$99,RAB!$C$14:$C$99,C1313)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SUMIFS(RAB!$F$14:$F$99,RAB!$C$14:$C$99,C1314)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SUMIFS(RAB!$F$14:$F$99,RAB!$C$14:$C$99,C1315)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SUMIFS(RAB!$F$14:$F$99,RAB!$C$14:$C$99,C1316)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SUMIFS(RAB!$F$14:$F$99,RAB!$C$14:$C$99,C1317)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SUMIFS(RAB!$F$14:$F$99,RAB!$C$14:$C$99,C1318)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SUMIFS(RAB!$F$14:$F$99,RAB!$C$14:$C$99,C1319)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SUMIFS(RAB!$F$14:$F$99,RAB!$C$14:$C$99,C1320)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SMK ASTRA MITRA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Krajan Ds Getasrejo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13530400</v>
      </c>
      <c r="J16" s="42">
        <f t="shared" ca="1" si="3"/>
        <v>0</v>
      </c>
      <c r="K16" s="43">
        <f t="shared" ca="1" si="0"/>
        <v>13530400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13530400</v>
      </c>
      <c r="J38" s="55">
        <f ca="1">SUM(J14:J37)</f>
        <v>0</v>
      </c>
      <c r="K38" s="55">
        <f ca="1">SUM(K14:K37)</f>
        <v>13530400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1353040</v>
      </c>
      <c r="J39" s="60">
        <f ca="1">J38*0.1</f>
        <v>0</v>
      </c>
      <c r="K39" s="60">
        <f ca="1">K38*0.1</f>
        <v>1353040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14883440</v>
      </c>
      <c r="J40" s="61">
        <f ca="1">SUM(J38:J39)</f>
        <v>0</v>
      </c>
      <c r="K40" s="61">
        <f ca="1">SUM(K38:K39)</f>
        <v>14883440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SUMIFS(RAB!$F$14:$F$99,RAB!$C$14:$C$99,'REKAP TIANG'!C57)</f>
        <v>4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SUMIFS(RAB!$F$14:$F$99,RAB!$C$14:$C$99,'REKAP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SUMIFS(RAB!$F$14:$F$99,RAB!$C$14:$C$99,'REKAP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SUMIFS(RAB!$F$14:$F$99,RAB!$C$14:$C$99,'REKAP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SUMIFS(RAB!$F$14:$F$99,RAB!$C$14:$C$99,'REKAP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SUMIFS(RAB!$F$14:$F$99,RAB!$C$14:$C$99,'REKAP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SUMIFS(RAB!$F$14:$F$99,RAB!$C$14:$C$99,'REKAP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SUMIFS(RAB!$F$14:$F$99,RAB!$C$14:$C$99,'REKAP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SUMIFS(RAB!$F$14:$F$99,RAB!$C$14:$C$99,'REKAP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SUMIFS(RAB!$F$14:$F$99,RAB!$C$14:$C$99,'REKAP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SUMIFS(RAB!$F$14:$F$99,RAB!$C$14:$C$99,'REKAP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SUMIFS(RAB!$F$14:$F$99,RAB!$C$14:$C$99,'REKAP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SUMIFS(RAB!$F$14:$F$99,RAB!$C$14:$C$99,'REKAP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SUMIFS(RAB!$F$14:$F$99,RAB!$C$14:$C$99,'REKAP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SUMIFS(RAB!$F$14:$F$99,RAB!$C$14:$C$99,'REKAP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SUMIFS(RAB!$F$14:$F$99,RAB!$C$14:$C$99,'REKAP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SUMIFS(RAB!$F$14:$F$99,RAB!$C$14:$C$99,'REKAP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SUMIFS(RAB!$F$14:$F$99,RAB!$C$14:$C$99,'REKAP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SUMIFS(RAB!$F$14:$F$99,RAB!$C$14:$C$99,'REKAP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SUMIFS(RAB!$F$14:$F$99,RAB!$C$14:$C$99,'REKAP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SMK ASTRA MITRA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Krajan Ds Getasrejo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500</v>
      </c>
      <c r="G18" s="41">
        <f ca="1">IF(ISERROR(OFFSET('HARGA SATUAN'!$I$6,MATCH(C18,'HARGA SATUAN'!$C$7:$C$1495,0),0)),"",OFFSET('HARGA SATUAN'!$I$6,MATCH(C18,'HARGA SATUAN'!$C$7:$C$1495,0),0))</f>
        <v>54500</v>
      </c>
      <c r="H18" s="42">
        <f t="shared" ca="1" si="1"/>
        <v>27250000</v>
      </c>
      <c r="I18" s="42">
        <f t="shared" ca="1" si="2"/>
        <v>0</v>
      </c>
      <c r="J18" s="42">
        <f t="shared" ca="1" si="3"/>
        <v>0</v>
      </c>
      <c r="K18" s="43">
        <f t="shared" ca="1" si="0"/>
        <v>27250000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4 x 16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40</v>
      </c>
      <c r="G19" s="41">
        <f ca="1">IF(ISERROR(OFFSET('HARGA SATUAN'!$I$6,MATCH(C19,'HARGA SATUAN'!$C$7:$C$1495,0),0)),"",OFFSET('HARGA SATUAN'!$I$6,MATCH(C19,'HARGA SATUAN'!$C$7:$C$1495,0),0))</f>
        <v>13500</v>
      </c>
      <c r="H19" s="42">
        <f t="shared" ca="1" si="1"/>
        <v>540000</v>
      </c>
      <c r="I19" s="42">
        <f t="shared" ca="1" si="2"/>
        <v>0</v>
      </c>
      <c r="J19" s="42">
        <f t="shared" ca="1" si="3"/>
        <v>0</v>
      </c>
      <c r="K19" s="43">
        <f t="shared" ca="1" si="0"/>
        <v>540000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32782300</v>
      </c>
      <c r="I168" s="55">
        <f ca="1">SUM(I14:I167)</f>
        <v>0</v>
      </c>
      <c r="J168" s="55">
        <f ca="1">SUM(J14:J167)</f>
        <v>0</v>
      </c>
      <c r="K168" s="55">
        <f ca="1">SUM(K14:K167)</f>
        <v>32782300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3278230</v>
      </c>
      <c r="I169" s="60">
        <f ca="1">I168*0.1</f>
        <v>0</v>
      </c>
      <c r="J169" s="60">
        <f ca="1">J168*0.1</f>
        <v>0</v>
      </c>
      <c r="K169" s="60">
        <f ca="1">K168*0.1</f>
        <v>3278230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36060530</v>
      </c>
      <c r="I170" s="78">
        <f ca="1">SUM(I168:I169)</f>
        <v>0</v>
      </c>
      <c r="J170" s="61">
        <f ca="1">SUM(J168:J169)</f>
        <v>0</v>
      </c>
      <c r="K170" s="61">
        <f ca="1">SUM(K168:K169)</f>
        <v>36060530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SUMIFS(RAB!$F$14:$F$99,RAB!$C$14:$C$99,C224)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SUMIFS(RAB!$F$14:$F$99,RAB!$C$14:$C$99,C225)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SUMIFS(RAB!$F$14:$F$99,RAB!$C$14:$C$99,C226)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SUMIFS(RAB!$F$14:$F$99,RAB!$C$14:$C$99,C227)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SUMIFS(RAB!$F$14:$F$99,RAB!$C$14:$C$99,C228)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SUMIFS(RAB!$F$14:$F$99,RAB!$C$14:$C$99,C229)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SUMIFS(RAB!$F$14:$F$99,RAB!$C$14:$C$99,C230)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SUMIFS(RAB!$F$14:$F$99,RAB!$C$14:$C$99,C231)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SUMIFS(RAB!$F$14:$F$99,RAB!$C$14:$C$99,C232)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SUMIFS(RAB!$F$14:$F$99,RAB!$C$14:$C$99,C233)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SUMIFS(RAB!$F$14:$F$99,RAB!$C$14:$C$99,C234)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SUMIFS(RAB!$F$14:$F$99,RAB!$C$14:$C$99,C235)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SUMIFS(RAB!$F$14:$F$99,RAB!$C$14:$C$99,C236)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SUMIFS(RAB!$F$14:$F$99,RAB!$C$14:$C$99,C237)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SUMIFS(RAB!$F$14:$F$99,RAB!$C$14:$C$99,C238)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SUMIFS(RAB!$F$14:$F$99,RAB!$C$14:$C$99,C239)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SUMIFS(RAB!$F$14:$F$99,RAB!$C$14:$C$99,C240)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SUMIFS(RAB!$F$14:$F$99,RAB!$C$14:$C$99,C241)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SUMIFS(RAB!$F$14:$F$99,RAB!$C$14:$C$99,C242)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SUMIFS(RAB!$F$14:$F$99,RAB!$C$14:$C$99,C243)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SUMIFS(RAB!$F$14:$F$99,RAB!$C$14:$C$99,C244)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SUMIFS(RAB!$F$14:$F$99,RAB!$C$14:$C$99,C245)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SUMIFS(RAB!$F$14:$F$99,RAB!$C$14:$C$99,C246)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SUMIFS(RAB!$F$14:$F$99,RAB!$C$14:$C$99,C247)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SUMIFS(RAB!$F$14:$F$99,RAB!$C$14:$C$99,C248)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SUMIFS(RAB!$F$14:$F$99,RAB!$C$14:$C$99,C249)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SUMIFS(RAB!$F$14:$F$99,RAB!$C$14:$C$99,C250)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SUMIFS(RAB!$F$14:$F$99,RAB!$C$14:$C$99,C251)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SUMIFS(RAB!$F$14:$F$99,RAB!$C$14:$C$99,C252)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SUMIFS(RAB!$F$14:$F$99,RAB!$C$14:$C$99,C253)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SUMIFS(RAB!$F$14:$F$99,RAB!$C$14:$C$99,C254)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SUMIFS(RAB!$F$14:$F$99,RAB!$C$14:$C$99,C255)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SUMIFS(RAB!$F$14:$F$99,RAB!$C$14:$C$99,C256)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SUMIFS(RAB!$F$14:$F$99,RAB!$C$14:$C$99,C257)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SUMIFS(RAB!$F$14:$F$99,RAB!$C$14:$C$99,C258)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SUMIFS(RAB!$F$14:$F$99,RAB!$C$14:$C$99,C259)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SUMIFS(RAB!$F$14:$F$99,RAB!$C$14:$C$99,C260)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SUMIFS(RAB!$F$14:$F$99,RAB!$C$14:$C$99,C261)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SUMIFS(RAB!$F$14:$F$99,RAB!$C$14:$C$99,C262)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SUMIFS(RAB!$F$14:$F$99,RAB!$C$14:$C$99,C263)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SUMIFS(RAB!$F$14:$F$99,RAB!$C$14:$C$99,C264)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SUMIFS(RAB!$F$14:$F$99,RAB!$C$14:$C$99,C265)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SUMIFS(RAB!$F$14:$F$99,RAB!$C$14:$C$99,C266)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SUMIFS(RAB!$F$14:$F$99,RAB!$C$14:$C$99,C267)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SUMIFS(RAB!$F$14:$F$99,RAB!$C$14:$C$99,C268)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SUMIFS(RAB!$F$14:$F$99,RAB!$C$14:$C$99,C269)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SUMIFS(RAB!$F$14:$F$99,RAB!$C$14:$C$99,C270)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SUMIFS(RAB!$F$14:$F$99,RAB!$C$14:$C$99,C271)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SUMIFS(RAB!$F$14:$F$99,RAB!$C$14:$C$99,C272)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SUMIFS(RAB!$F$14:$F$99,RAB!$C$14:$C$99,C273)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SUMIFS(RAB!$F$14:$F$99,RAB!$C$14:$C$99,C274)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SUMIFS(RAB!$F$14:$F$99,RAB!$C$14:$C$99,C275)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SUMIFS(RAB!$F$14:$F$99,RAB!$C$14:$C$99,C276)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SUMIFS(RAB!$F$14:$F$99,RAB!$C$14:$C$99,C277)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SUMIFS(RAB!$F$14:$F$99,RAB!$C$14:$C$99,C278)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SUMIFS(RAB!$F$14:$F$99,RAB!$C$14:$C$99,C279)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SUMIFS(RAB!$F$14:$F$99,RAB!$C$14:$C$99,C280)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SUMIFS(RAB!$F$14:$F$99,RAB!$C$14:$C$99,C281)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SUMIFS(RAB!$F$14:$F$99,RAB!$C$14:$C$99,C282)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SUMIFS(RAB!$F$14:$F$99,RAB!$C$14:$C$99,C283)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SUMIFS(RAB!$F$14:$F$99,RAB!$C$14:$C$99,C284)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SUMIFS(RAB!$F$14:$F$99,RAB!$C$14:$C$99,C285)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SUMIFS(RAB!$F$14:$F$99,RAB!$C$14:$C$99,C286)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SUMIFS(RAB!$F$14:$F$99,RAB!$C$14:$C$99,C287)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SUMIFS(RAB!$F$14:$F$99,RAB!$C$14:$C$99,C288)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SUMIFS(RAB!$F$14:$F$99,RAB!$C$14:$C$99,C289)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SUMIFS(RAB!$F$14:$F$99,RAB!$C$14:$C$99,C290)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SUMIFS(RAB!$F$14:$F$99,RAB!$C$14:$C$99,C291)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SUMIFS(RAB!$F$14:$F$99,RAB!$C$14:$C$99,C292)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SUMIFS(RAB!$F$14:$F$99,RAB!$C$14:$C$99,C293)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SUMIFS(RAB!$F$14:$F$99,RAB!$C$14:$C$99,C294)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SUMIFS(RAB!$F$14:$F$99,RAB!$C$14:$C$99,C295)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SUMIFS(RAB!$F$14:$F$99,RAB!$C$14:$C$99,C296)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SUMIFS(RAB!$F$14:$F$99,RAB!$C$14:$C$99,C297)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SUMIFS(RAB!$F$14:$F$99,RAB!$C$14:$C$99,C298)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SUMIFS(RAB!$F$14:$F$99,RAB!$C$14:$C$99,C299)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SUMIFS(RAB!$F$14:$F$99,RAB!$C$14:$C$99,C300)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SUMIFS(RAB!$F$14:$F$99,RAB!$C$14:$C$99,C301)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SUMIFS(RAB!$F$14:$F$99,RAB!$C$14:$C$99,C302)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SUMIFS(RAB!$F$14:$F$99,RAB!$C$14:$C$99,C303)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SUMIFS(RAB!$F$14:$F$99,RAB!$C$14:$C$99,C304)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SUMIFS(RAB!$F$14:$F$99,RAB!$C$14:$C$99,C305)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SUMIFS(RAB!$F$14:$F$99,RAB!$C$14:$C$99,C306)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SUMIFS(RAB!$F$14:$F$99,RAB!$C$14:$C$99,C307)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SUMIFS(RAB!$F$14:$F$99,RAB!$C$14:$C$99,C308)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SUMIFS(RAB!$F$14:$F$99,RAB!$C$14:$C$99,C309)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SUMIFS(RAB!$F$14:$F$99,RAB!$C$14:$C$99,C310)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SUMIFS(RAB!$F$14:$F$99,RAB!$C$14:$C$99,C311)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SUMIFS(RAB!$F$14:$F$99,RAB!$C$14:$C$99,C312)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SUMIFS(RAB!$F$14:$F$99,RAB!$C$14:$C$99,C313)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SUMIFS(RAB!$F$14:$F$99,RAB!$C$14:$C$99,C314)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SUMIFS(RAB!$F$14:$F$99,RAB!$C$14:$C$99,C315)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SUMIFS(RAB!$F$14:$F$99,RAB!$C$14:$C$99,C316)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SUMIFS(RAB!$F$14:$F$99,RAB!$C$14:$C$99,C317)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SUMIFS(RAB!$F$14:$F$99,RAB!$C$14:$C$99,C318)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SUMIFS(RAB!$F$14:$F$99,RAB!$C$14:$C$99,C319)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SUMIFS(RAB!$F$14:$F$99,RAB!$C$14:$C$99,C320)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SUMIFS(RAB!$F$14:$F$99,RAB!$C$14:$C$99,C321)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SUMIFS(RAB!$F$14:$F$99,RAB!$C$14:$C$99,C322)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SUMIFS(RAB!$F$14:$F$99,RAB!$C$14:$C$99,C323)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SUMIFS(RAB!$F$14:$F$99,RAB!$C$14:$C$99,C324)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SUMIFS(RAB!$F$14:$F$99,RAB!$C$14:$C$99,C325)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SUMIFS(RAB!$F$14:$F$99,RAB!$C$14:$C$99,C326)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SUMIFS(RAB!$F$14:$F$99,RAB!$C$14:$C$99,C327)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SUMIFS(RAB!$F$14:$F$99,RAB!$C$14:$C$99,C328)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SUMIFS(RAB!$F$14:$F$99,RAB!$C$14:$C$99,C329)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SUMIFS(RAB!$F$14:$F$99,RAB!$C$14:$C$99,C330)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SUMIFS(RAB!$F$14:$F$99,RAB!$C$14:$C$99,C331)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SUMIFS(RAB!$F$14:$F$99,RAB!$C$14:$C$99,C332)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SUMIFS(RAB!$F$14:$F$99,RAB!$C$14:$C$99,C333)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SUMIFS(RAB!$F$14:$F$99,RAB!$C$14:$C$99,C334)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SUMIFS(RAB!$F$14:$F$99,RAB!$C$14:$C$99,C335)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SUMIFS(RAB!$F$14:$F$99,RAB!$C$14:$C$99,C336)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SUMIFS(RAB!$F$14:$F$99,RAB!$C$14:$C$99,C337)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SUMIFS(RAB!$F$14:$F$99,RAB!$C$14:$C$99,C338)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SUMIFS(RAB!$F$14:$F$99,RAB!$C$14:$C$99,C339)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SUMIFS(RAB!$F$14:$F$99,RAB!$C$14:$C$99,C340)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SUMIFS(RAB!$F$14:$F$99,RAB!$C$14:$C$99,C341)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SUMIFS(RAB!$F$14:$F$99,RAB!$C$14:$C$99,C342)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SUMIFS(RAB!$F$14:$F$99,RAB!$C$14:$C$99,C343)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SUMIFS(RAB!$F$14:$F$99,RAB!$C$14:$C$99,C344)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SUMIFS(RAB!$F$14:$F$99,RAB!$C$14:$C$99,C345)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SUMIFS(RAB!$F$14:$F$99,RAB!$C$14:$C$99,C346)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SUMIFS(RAB!$F$14:$F$99,RAB!$C$14:$C$99,C347)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SUMIFS(RAB!$F$14:$F$99,RAB!$C$14:$C$99,C348)</f>
        <v>500</v>
      </c>
      <c r="E348" s="24">
        <f t="shared" ca="1" si="22"/>
        <v>1</v>
      </c>
      <c r="F348" s="24">
        <f ca="1">IF(D348=0,0,SUM($E$223:E348))</f>
        <v>3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SUMIFS(RAB!$F$14:$F$99,RAB!$C$14:$C$99,C349)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SUMIFS(RAB!$F$14:$F$99,RAB!$C$14:$C$99,C350)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SUMIFS(RAB!$F$14:$F$99,RAB!$C$14:$C$99,C351)</f>
        <v>40</v>
      </c>
      <c r="E351" s="24">
        <f t="shared" ca="1" si="22"/>
        <v>1</v>
      </c>
      <c r="F351" s="24">
        <f ca="1">IF(D351=0,0,SUM($E$223:E351))</f>
        <v>4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SUMIFS(RAB!$F$14:$F$99,RAB!$C$14:$C$99,C352)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SUMIFS(RAB!$F$14:$F$99,RAB!$C$14:$C$99,C353)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SUMIFS(RAB!$F$14:$F$99,RAB!$C$14:$C$99,C354)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SUMIFS(RAB!$F$14:$F$99,RAB!$C$14:$C$99,C355)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SUMIFS(RAB!$F$14:$F$99,RAB!$C$14:$C$99,C356)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SUMIFS(RAB!$F$14:$F$99,RAB!$C$14:$C$99,C357)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SUMIFS(RAB!$F$14:$F$99,RAB!$C$14:$C$99,C358)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SUMIFS(RAB!$F$14:$F$99,RAB!$C$14:$C$99,C359)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SUMIFS(RAB!$F$14:$F$99,RAB!$C$14:$C$99,C360)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SUMIFS(RAB!$F$14:$F$99,RAB!$C$14:$C$99,C361)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SUMIFS(RAB!$F$14:$F$99,RAB!$C$14:$C$99,C362)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SUMIFS(RAB!$F$14:$F$99,RAB!$C$14:$C$99,C363)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SUMIFS(RAB!$F$14:$F$99,RAB!$C$14:$C$99,C364)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SUMIFS(RAB!$F$14:$F$99,RAB!$C$14:$C$99,C365)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SUMIFS(RAB!$F$14:$F$99,RAB!$C$14:$C$99,C366)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SUMIFS(RAB!$F$14:$F$99,RAB!$C$14:$C$99,C367)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SUMIFS(RAB!$F$14:$F$99,RAB!$C$14:$C$99,C368)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SUMIFS(RAB!$F$14:$F$99,RAB!$C$14:$C$99,C369)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SUMIFS(RAB!$F$14:$F$99,RAB!$C$14:$C$99,C370)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SUMIFS(RAB!$F$14:$F$99,RAB!$C$14:$C$99,C371)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SUMIFS(RAB!$F$14:$F$99,RAB!$C$14:$C$99,C372)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SUMIFS(RAB!$F$14:$F$99,RAB!$C$14:$C$99,C373)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01" activePane="bottomRight" state="frozen"/>
      <selection activeCell="D209" sqref="D209"/>
      <selection pane="topRight" activeCell="D209" sqref="D209"/>
      <selection pane="bottomLeft" activeCell="D209" sqref="D209"/>
      <selection pane="bottomRight" activeCell="C210" sqref="C2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1599</v>
      </c>
      <c r="G4" s="108" t="s">
        <v>1598</v>
      </c>
      <c r="H4" s="556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8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9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9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8" priority="4" operator="equal">
      <formula>0</formula>
    </cfRule>
  </conditionalFormatting>
  <conditionalFormatting sqref="B217 D217:G217">
    <cfRule type="cellIs" dxfId="37" priority="11" operator="equal">
      <formula>0</formula>
    </cfRule>
  </conditionalFormatting>
  <conditionalFormatting sqref="B8:C135">
    <cfRule type="cellIs" dxfId="36" priority="66" operator="equal">
      <formula>0</formula>
    </cfRule>
  </conditionalFormatting>
  <conditionalFormatting sqref="B216:G216">
    <cfRule type="cellIs" dxfId="35" priority="16" operator="equal">
      <formula>0</formula>
    </cfRule>
  </conditionalFormatting>
  <conditionalFormatting sqref="B218:G1496">
    <cfRule type="cellIs" dxfId="34" priority="1" operator="equal">
      <formula>0</formula>
    </cfRule>
  </conditionalFormatting>
  <conditionalFormatting sqref="C143:G149">
    <cfRule type="cellIs" dxfId="33" priority="20" operator="equal">
      <formula>0</formula>
    </cfRule>
  </conditionalFormatting>
  <conditionalFormatting sqref="D9:G142">
    <cfRule type="cellIs" dxfId="32" priority="26" operator="equal">
      <formula>0</formula>
    </cfRule>
  </conditionalFormatting>
  <conditionalFormatting sqref="D1:IV5 A1:C7 D6:K6 H1458:IV1460 H1461:XFD1488 H1489:H1496 I1489:XFD1497 A1497:H1497 A1498:XFD65539">
    <cfRule type="cellIs" dxfId="31" priority="178" operator="equal">
      <formula>0</formula>
    </cfRule>
  </conditionalFormatting>
  <conditionalFormatting sqref="D7:IV8 C136:C142 B136:B149 B150:G213 B214:B215 D214:G215">
    <cfRule type="cellIs" dxfId="30" priority="77" operator="equal">
      <formula>0</formula>
    </cfRule>
  </conditionalFormatting>
  <conditionalFormatting sqref="H9:H1421">
    <cfRule type="cellIs" dxfId="29" priority="3" operator="equal">
      <formula>0</formula>
    </cfRule>
  </conditionalFormatting>
  <conditionalFormatting sqref="H1422:I1457">
    <cfRule type="cellIs" dxfId="28" priority="143" operator="equal">
      <formula>0</formula>
    </cfRule>
  </conditionalFormatting>
  <conditionalFormatting sqref="I108:I1421">
    <cfRule type="cellIs" dxfId="27" priority="2" operator="equal">
      <formula>0</formula>
    </cfRule>
  </conditionalFormatting>
  <conditionalFormatting sqref="I9:IV107">
    <cfRule type="cellIs" dxfId="26" priority="153" operator="equal">
      <formula>0</formula>
    </cfRule>
  </conditionalFormatting>
  <conditionalFormatting sqref="J108:IV1457">
    <cfRule type="cellIs" dxfId="25" priority="5" operator="equal">
      <formula>0</formula>
    </cfRule>
  </conditionalFormatting>
  <conditionalFormatting sqref="M6:IV6">
    <cfRule type="cellIs" dxfId="24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N13" sqref="N13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4" t="s">
        <v>1453</v>
      </c>
      <c r="C2" s="564"/>
      <c r="D2" s="564"/>
      <c r="E2" s="56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9" t="s">
        <v>1528</v>
      </c>
      <c r="C4" s="570"/>
      <c r="D4" s="570"/>
      <c r="E4" s="571"/>
      <c r="F4" s="373"/>
      <c r="G4" s="373"/>
      <c r="H4" s="374"/>
      <c r="I4" s="596" t="s">
        <v>1529</v>
      </c>
      <c r="J4" s="597"/>
      <c r="K4" s="597"/>
      <c r="L4" s="598"/>
    </row>
    <row r="5" spans="1:12" ht="34.5" customHeight="1">
      <c r="A5" s="193"/>
      <c r="B5" s="376" t="s">
        <v>1378</v>
      </c>
      <c r="C5" s="224" t="s">
        <v>9</v>
      </c>
      <c r="D5" s="565" t="str">
        <f>DATA!D14</f>
        <v>SMK ASTRA MITRA</v>
      </c>
      <c r="E5" s="566"/>
      <c r="F5" s="197"/>
      <c r="G5" s="197"/>
      <c r="I5" s="377" t="s">
        <v>1378</v>
      </c>
      <c r="J5" s="224" t="s">
        <v>9</v>
      </c>
      <c r="K5" s="599" t="str">
        <f>D5</f>
        <v>SMK ASTRA MITRA</v>
      </c>
      <c r="L5" s="600"/>
    </row>
    <row r="6" spans="1:12" ht="31.5" customHeight="1">
      <c r="A6" s="193"/>
      <c r="B6" s="376" t="s">
        <v>1525</v>
      </c>
      <c r="C6" s="224" t="s">
        <v>9</v>
      </c>
      <c r="D6" s="574">
        <f>DATA!D17*1000</f>
        <v>0</v>
      </c>
      <c r="E6" s="575"/>
      <c r="F6" s="197"/>
      <c r="G6" s="197"/>
      <c r="I6" s="377" t="s">
        <v>1526</v>
      </c>
      <c r="J6" s="224" t="s">
        <v>9</v>
      </c>
      <c r="K6" s="601">
        <f>DATA!D20*1000</f>
        <v>23000</v>
      </c>
      <c r="L6" s="602"/>
    </row>
    <row r="7" spans="1:12" ht="30.75" customHeight="1">
      <c r="A7" s="193"/>
      <c r="B7" s="376" t="s">
        <v>1440</v>
      </c>
      <c r="C7" s="224" t="s">
        <v>9</v>
      </c>
      <c r="D7" s="572">
        <f>DATA!D18</f>
        <v>1</v>
      </c>
      <c r="E7" s="573"/>
      <c r="F7" s="375" t="s">
        <v>1452</v>
      </c>
      <c r="I7" s="377" t="s">
        <v>1440</v>
      </c>
      <c r="J7" s="224" t="s">
        <v>9</v>
      </c>
      <c r="K7" s="603">
        <f>DATA!D21</f>
        <v>3</v>
      </c>
      <c r="L7" s="604"/>
    </row>
    <row r="8" spans="1:12" ht="51" customHeight="1">
      <c r="A8" s="193"/>
      <c r="B8" s="376" t="s">
        <v>1441</v>
      </c>
      <c r="C8" s="224" t="s">
        <v>9</v>
      </c>
      <c r="D8" s="572">
        <f>DATA!D19</f>
        <v>220</v>
      </c>
      <c r="E8" s="573"/>
      <c r="F8" s="375" t="s">
        <v>1452</v>
      </c>
      <c r="G8" s="370">
        <v>220</v>
      </c>
      <c r="I8" s="377" t="s">
        <v>1441</v>
      </c>
      <c r="J8" s="224" t="s">
        <v>9</v>
      </c>
      <c r="K8" s="603">
        <f>DATA!D22</f>
        <v>380</v>
      </c>
      <c r="L8" s="604"/>
    </row>
    <row r="9" spans="1:12" ht="30" customHeight="1" thickBot="1">
      <c r="A9" s="193"/>
      <c r="B9" s="382" t="s">
        <v>1537</v>
      </c>
      <c r="C9" s="372" t="s">
        <v>9</v>
      </c>
      <c r="D9" s="567">
        <f>IF(D7=1,D6/(380/3^0.5),(D6/(380*3^0.5)))</f>
        <v>0</v>
      </c>
      <c r="E9" s="568"/>
      <c r="F9" s="196"/>
      <c r="G9" s="371">
        <v>380</v>
      </c>
      <c r="I9" s="383" t="s">
        <v>1537</v>
      </c>
      <c r="J9" s="372" t="s">
        <v>9</v>
      </c>
      <c r="K9" s="605">
        <f>IF(K7=1,K6/(380/3^0.5),(K6/(380*3^0.5)))</f>
        <v>34.94488471410893</v>
      </c>
      <c r="L9" s="606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6"/>
      <c r="E12" s="577"/>
      <c r="F12" s="197"/>
      <c r="G12" s="197"/>
      <c r="I12" s="399" t="s">
        <v>1530</v>
      </c>
      <c r="J12" s="400" t="s">
        <v>9</v>
      </c>
      <c r="K12" s="576" t="s">
        <v>1644</v>
      </c>
      <c r="L12" s="577"/>
    </row>
    <row r="13" spans="1:12" ht="31.5" customHeight="1">
      <c r="A13" s="193"/>
      <c r="B13" s="407" t="s">
        <v>1379</v>
      </c>
      <c r="C13" s="387" t="s">
        <v>9</v>
      </c>
      <c r="D13" s="580"/>
      <c r="E13" s="581"/>
      <c r="F13" s="197"/>
      <c r="G13" s="197"/>
      <c r="I13" s="401" t="s">
        <v>1379</v>
      </c>
      <c r="J13" s="387" t="s">
        <v>9</v>
      </c>
      <c r="K13" s="580" t="s">
        <v>1643</v>
      </c>
      <c r="L13" s="581"/>
    </row>
    <row r="14" spans="1:12" ht="30.75" customHeight="1">
      <c r="A14" s="193"/>
      <c r="B14" s="407" t="s">
        <v>1531</v>
      </c>
      <c r="C14" s="387" t="s">
        <v>9</v>
      </c>
      <c r="D14" s="588"/>
      <c r="E14" s="589"/>
      <c r="F14" s="375" t="s">
        <v>1452</v>
      </c>
      <c r="G14" s="379">
        <v>50</v>
      </c>
      <c r="I14" s="401" t="s">
        <v>1531</v>
      </c>
      <c r="J14" s="387" t="s">
        <v>9</v>
      </c>
      <c r="K14" s="590">
        <v>50</v>
      </c>
      <c r="L14" s="591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92">
        <v>0</v>
      </c>
      <c r="E16" s="593"/>
      <c r="F16" s="375"/>
      <c r="G16" s="379">
        <v>160</v>
      </c>
      <c r="I16" s="401" t="s">
        <v>1533</v>
      </c>
      <c r="J16" s="387" t="s">
        <v>9</v>
      </c>
      <c r="K16" s="594">
        <f>K9</f>
        <v>34.94488471410893</v>
      </c>
      <c r="L16" s="595"/>
    </row>
    <row r="17" spans="1:12" ht="34.5" customHeight="1">
      <c r="A17" s="193"/>
      <c r="B17" s="407" t="s">
        <v>1534</v>
      </c>
      <c r="C17" s="387" t="s">
        <v>9</v>
      </c>
      <c r="D17" s="582">
        <f>IF(D15=1,D14/(20/3^0.5),(D14/(20*3^0.5)))</f>
        <v>0</v>
      </c>
      <c r="E17" s="583"/>
      <c r="F17" s="375" t="s">
        <v>1452</v>
      </c>
      <c r="G17" s="380">
        <v>200</v>
      </c>
      <c r="I17" s="401" t="s">
        <v>1534</v>
      </c>
      <c r="J17" s="387" t="s">
        <v>9</v>
      </c>
      <c r="K17" s="586">
        <f>IF(K15=1,K14/(20/3^0.5),(K14/(20*3^0.5)))</f>
        <v>4.3301270189221928</v>
      </c>
      <c r="L17" s="587"/>
    </row>
    <row r="18" spans="1:12" ht="34.5" customHeight="1">
      <c r="A18" s="193"/>
      <c r="B18" s="407" t="s">
        <v>1535</v>
      </c>
      <c r="C18" s="387" t="s">
        <v>9</v>
      </c>
      <c r="D18" s="582">
        <f>IF(D15=1,D14/(380/3^0.5),(D14/(380*3^0.5)))*1000</f>
        <v>0</v>
      </c>
      <c r="E18" s="583"/>
      <c r="F18" s="375" t="s">
        <v>1452</v>
      </c>
      <c r="G18" s="380">
        <v>250</v>
      </c>
      <c r="I18" s="401" t="s">
        <v>1535</v>
      </c>
      <c r="J18" s="387" t="s">
        <v>9</v>
      </c>
      <c r="K18" s="586">
        <f>IF(K15=1,K14/(380/3^0.5),(K14/(380*3^0.5)))*1000</f>
        <v>227.90142204853646</v>
      </c>
      <c r="L18" s="587"/>
    </row>
    <row r="19" spans="1:12" ht="30" customHeight="1">
      <c r="A19" s="193"/>
      <c r="B19" s="408" t="s">
        <v>1527</v>
      </c>
      <c r="C19" s="386" t="s">
        <v>9</v>
      </c>
      <c r="D19" s="582">
        <f>IF(D15=1,D14/(380/3^0.5),(D14/(380*3^0.5)))</f>
        <v>0</v>
      </c>
      <c r="E19" s="583"/>
      <c r="F19" s="196"/>
      <c r="G19" s="371"/>
      <c r="I19" s="403" t="s">
        <v>1527</v>
      </c>
      <c r="J19" s="386" t="s">
        <v>9</v>
      </c>
      <c r="K19" s="586">
        <f>IF(K15=1,K14/(380/3^0.5),(K14/(380*3^0.5)))</f>
        <v>0.22790142204853647</v>
      </c>
      <c r="L19" s="587"/>
    </row>
    <row r="20" spans="1:12" ht="30" customHeight="1" thickBot="1">
      <c r="A20" s="193"/>
      <c r="B20" s="409" t="s">
        <v>1536</v>
      </c>
      <c r="C20" s="405" t="s">
        <v>9</v>
      </c>
      <c r="D20" s="578" t="e">
        <f>D16/D18</f>
        <v>#DIV/0!</v>
      </c>
      <c r="E20" s="579"/>
      <c r="F20" s="196"/>
      <c r="G20" s="371"/>
      <c r="I20" s="404" t="s">
        <v>1527</v>
      </c>
      <c r="J20" s="405" t="s">
        <v>9</v>
      </c>
      <c r="K20" s="584">
        <f>K16/K18</f>
        <v>0.15333333333333335</v>
      </c>
      <c r="L20" s="585"/>
    </row>
    <row r="21" spans="1:12" ht="9.75" customHeight="1">
      <c r="A21" s="193"/>
      <c r="B21" s="394" t="s">
        <v>1536</v>
      </c>
      <c r="C21" s="395" t="s">
        <v>9</v>
      </c>
      <c r="D21" s="563">
        <v>1</v>
      </c>
      <c r="E21" s="563"/>
      <c r="F21" s="396"/>
      <c r="G21" s="397"/>
      <c r="H21" s="398"/>
      <c r="I21" s="394" t="s">
        <v>1527</v>
      </c>
      <c r="J21" s="395" t="s">
        <v>9</v>
      </c>
      <c r="K21" s="563">
        <v>1</v>
      </c>
      <c r="L21" s="563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25" sqref="D2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7"/>
      <c r="C1" s="607"/>
      <c r="D1" s="607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22287000</v>
      </c>
    </row>
    <row r="10" spans="2:11" ht="20.100000000000001" customHeight="1">
      <c r="B10" s="238" t="s">
        <v>1445</v>
      </c>
      <c r="C10" s="239" t="s">
        <v>9</v>
      </c>
      <c r="D10" s="245">
        <f ca="1">RAB!K105</f>
        <v>60764326.995999999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1215286.5399200001</v>
      </c>
    </row>
    <row r="12" spans="2:11" ht="9" customHeight="1">
      <c r="B12" s="608"/>
      <c r="C12" s="608"/>
      <c r="D12" s="608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SMK ASTRA MITRA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1642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23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900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900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9" t="s">
        <v>1356</v>
      </c>
      <c r="C3" s="609"/>
      <c r="D3" s="609"/>
      <c r="E3" s="609"/>
      <c r="F3" s="252" t="str">
        <f>DATA!D14</f>
        <v>SMK ASTRA MITRA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0" t="s">
        <v>1348</v>
      </c>
      <c r="C5" s="610" t="s">
        <v>1357</v>
      </c>
      <c r="D5" s="611" t="s">
        <v>1358</v>
      </c>
      <c r="E5" s="611" t="s">
        <v>1359</v>
      </c>
      <c r="F5" s="610" t="s">
        <v>1360</v>
      </c>
      <c r="G5" s="610"/>
      <c r="H5" s="610"/>
      <c r="I5" s="610"/>
      <c r="J5" s="610"/>
      <c r="K5" s="610" t="s">
        <v>1361</v>
      </c>
      <c r="L5" s="610"/>
      <c r="M5" s="254"/>
      <c r="N5" s="614" t="s">
        <v>1362</v>
      </c>
      <c r="O5" s="611" t="s">
        <v>1363</v>
      </c>
      <c r="P5" s="611" t="s">
        <v>1364</v>
      </c>
      <c r="Q5" s="611" t="s">
        <v>1365</v>
      </c>
      <c r="R5" s="255"/>
      <c r="S5" s="256"/>
      <c r="T5" s="612" t="s">
        <v>1366</v>
      </c>
      <c r="U5" s="257"/>
    </row>
    <row r="6" spans="1:21" ht="20.100000000000001" customHeight="1">
      <c r="B6" s="610"/>
      <c r="C6" s="610"/>
      <c r="D6" s="610"/>
      <c r="E6" s="610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5"/>
      <c r="O6" s="610"/>
      <c r="P6" s="610"/>
      <c r="Q6" s="610"/>
      <c r="R6" s="255"/>
      <c r="S6" s="256"/>
      <c r="T6" s="610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3680</v>
      </c>
      <c r="D7" s="263">
        <f>C7*4/24</f>
        <v>613.33333333333337</v>
      </c>
      <c r="E7" s="263">
        <f>C7-D7</f>
        <v>3066.6666666666665</v>
      </c>
      <c r="F7" s="264">
        <f ca="1">DATA!D10/1000000</f>
        <v>60.764326996000001</v>
      </c>
      <c r="G7" s="265">
        <f ca="1">DATA!$D$11/1000000</f>
        <v>1.2152865399200001</v>
      </c>
      <c r="H7" s="265">
        <f>C7*DATA!$D$5/1000000</f>
        <v>3.9895801688626293</v>
      </c>
      <c r="I7" s="265">
        <f>(C7*DATA!$D$5*DATA!$D$7)/1000000</f>
        <v>8.9765553799409162E-2</v>
      </c>
      <c r="J7" s="263">
        <f ca="1">SUM(F7:I7)</f>
        <v>66.058959258582036</v>
      </c>
      <c r="K7" s="266">
        <f>DATA!D9/1000000</f>
        <v>22.286999999999999</v>
      </c>
      <c r="L7" s="263">
        <f>((D7*DATA!$D$23)/1000000)+((E7*DATA!$D$24)/1000000)</f>
        <v>3.3119999999999998</v>
      </c>
      <c r="M7" s="263">
        <f>K7+L7</f>
        <v>25.599</v>
      </c>
      <c r="N7" s="263">
        <f ca="1">M7-J7</f>
        <v>-40.459959258582032</v>
      </c>
      <c r="O7" s="261">
        <v>1</v>
      </c>
      <c r="P7" s="263">
        <f ca="1">O7*N7</f>
        <v>-40.459959258582032</v>
      </c>
      <c r="Q7" s="263">
        <f ca="1">P7</f>
        <v>-40.459959258582032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11040</v>
      </c>
      <c r="D8" s="263">
        <f>C8*4/24</f>
        <v>1840</v>
      </c>
      <c r="E8" s="263">
        <f t="shared" ref="E8:E32" si="0">C8-D8</f>
        <v>9200</v>
      </c>
      <c r="F8" s="261"/>
      <c r="G8" s="265">
        <f ca="1">DATA!$D$11/1000000</f>
        <v>1.2152865399200001</v>
      </c>
      <c r="H8" s="265">
        <f>C8*DATA!$D$5/1000000</f>
        <v>11.968740506587888</v>
      </c>
      <c r="I8" s="265">
        <f>(C8*DATA!$D$5*DATA!$D$7)/1000000</f>
        <v>0.2692966613982275</v>
      </c>
      <c r="J8" s="263">
        <f t="shared" ref="J8:J32" ca="1" si="1">SUM(F8:I8)</f>
        <v>13.453323707906117</v>
      </c>
      <c r="K8" s="268"/>
      <c r="L8" s="263">
        <f>((D8*DATA!$D$23)/1000000)+((E8*DATA!$D$24)/1000000)</f>
        <v>9.9359999999999999</v>
      </c>
      <c r="M8" s="263">
        <f t="shared" ref="M8:M32" si="2">K8+L8</f>
        <v>9.9359999999999999</v>
      </c>
      <c r="N8" s="263">
        <f ca="1">M8-J8</f>
        <v>-3.517323707906117</v>
      </c>
      <c r="O8" s="262">
        <f>1/(1+'[93]Asumsi I'!$C$3)^(KKF!A8)</f>
        <v>0.89285714285714279</v>
      </c>
      <c r="P8" s="263">
        <f ca="1">O8*N8</f>
        <v>-3.140467596344747</v>
      </c>
      <c r="Q8" s="263">
        <f ca="1">Q7+P8</f>
        <v>-43.600426854926781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11040</v>
      </c>
      <c r="D9" s="263">
        <f t="shared" ref="D9:D32" si="5">C9*4/24</f>
        <v>1840</v>
      </c>
      <c r="E9" s="263">
        <f t="shared" si="0"/>
        <v>9200</v>
      </c>
      <c r="F9" s="261"/>
      <c r="G9" s="265">
        <f ca="1">DATA!$D$11/1000000</f>
        <v>1.2152865399200001</v>
      </c>
      <c r="H9" s="265">
        <f>C9*DATA!$D$5/1000000</f>
        <v>11.968740506587888</v>
      </c>
      <c r="I9" s="265">
        <f>(C9*DATA!$D$5*DATA!$D$7)/1000000</f>
        <v>0.2692966613982275</v>
      </c>
      <c r="J9" s="263">
        <f t="shared" ca="1" si="1"/>
        <v>13.453323707906117</v>
      </c>
      <c r="K9" s="263"/>
      <c r="L9" s="263">
        <f>((D9*DATA!$D$23)/1000000)+((E9*DATA!$D$24)/1000000)</f>
        <v>9.9359999999999999</v>
      </c>
      <c r="M9" s="263">
        <f t="shared" si="2"/>
        <v>9.9359999999999999</v>
      </c>
      <c r="N9" s="263">
        <f t="shared" ref="N9:N32" ca="1" si="6">M9-J9</f>
        <v>-3.517323707906117</v>
      </c>
      <c r="O9" s="269">
        <f>1/(1+'[93]Asumsi I'!$C$3)^(KKF!A9)</f>
        <v>0.79719387755102034</v>
      </c>
      <c r="P9" s="263">
        <f t="shared" ref="P9:P32" ca="1" si="7">O9*N9</f>
        <v>-2.8039889253078099</v>
      </c>
      <c r="Q9" s="263">
        <f ca="1">Q8+P9</f>
        <v>-46.404415780234594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11040</v>
      </c>
      <c r="D10" s="263">
        <f t="shared" si="5"/>
        <v>1840</v>
      </c>
      <c r="E10" s="263">
        <f t="shared" si="0"/>
        <v>9200</v>
      </c>
      <c r="F10" s="261"/>
      <c r="G10" s="265">
        <f ca="1">DATA!$D$11/1000000</f>
        <v>1.2152865399200001</v>
      </c>
      <c r="H10" s="265">
        <f>C10*DATA!$D$5/1000000</f>
        <v>11.968740506587888</v>
      </c>
      <c r="I10" s="265">
        <f>(C10*DATA!$D$5*DATA!$D$7)/1000000</f>
        <v>0.2692966613982275</v>
      </c>
      <c r="J10" s="263">
        <f t="shared" ca="1" si="1"/>
        <v>13.453323707906117</v>
      </c>
      <c r="K10" s="261"/>
      <c r="L10" s="263">
        <f>((D10*DATA!$D$23)/1000000)+((E10*DATA!$D$24)/1000000)</f>
        <v>9.9359999999999999</v>
      </c>
      <c r="M10" s="263">
        <f t="shared" si="2"/>
        <v>9.9359999999999999</v>
      </c>
      <c r="N10" s="263">
        <f t="shared" ca="1" si="6"/>
        <v>-3.517323707906117</v>
      </c>
      <c r="O10" s="262">
        <f>1/(1+'[93]Asumsi I'!$C$3)^(KKF!A10)</f>
        <v>0.71178024781341087</v>
      </c>
      <c r="P10" s="263">
        <f t="shared" ca="1" si="7"/>
        <v>-2.5035615404534011</v>
      </c>
      <c r="Q10" s="263">
        <f t="shared" ref="Q10:Q30" ca="1" si="9">Q9+P10</f>
        <v>-48.907977320687998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11040</v>
      </c>
      <c r="D11" s="263">
        <f t="shared" si="5"/>
        <v>1840</v>
      </c>
      <c r="E11" s="263">
        <f t="shared" si="0"/>
        <v>9200</v>
      </c>
      <c r="F11" s="261"/>
      <c r="G11" s="265">
        <f ca="1">DATA!$D$11/1000000</f>
        <v>1.2152865399200001</v>
      </c>
      <c r="H11" s="265">
        <f>C11*DATA!$D$5/1000000</f>
        <v>11.968740506587888</v>
      </c>
      <c r="I11" s="265">
        <f>(C11*DATA!$D$5*DATA!$D$7)/1000000</f>
        <v>0.2692966613982275</v>
      </c>
      <c r="J11" s="263">
        <f t="shared" ca="1" si="1"/>
        <v>13.453323707906117</v>
      </c>
      <c r="K11" s="261"/>
      <c r="L11" s="263">
        <f>((D11*DATA!$D$23)/1000000)+((E11*DATA!$D$24)/1000000)</f>
        <v>9.9359999999999999</v>
      </c>
      <c r="M11" s="263">
        <f t="shared" si="2"/>
        <v>9.9359999999999999</v>
      </c>
      <c r="N11" s="263">
        <f t="shared" ca="1" si="6"/>
        <v>-3.517323707906117</v>
      </c>
      <c r="O11" s="262">
        <f>1/(1+'[93]Asumsi I'!$C$3)^(KKF!A11)</f>
        <v>0.63551807840483121</v>
      </c>
      <c r="P11" s="263">
        <f t="shared" ca="1" si="7"/>
        <v>-2.2353228039762514</v>
      </c>
      <c r="Q11" s="263">
        <f t="shared" ca="1" si="9"/>
        <v>-51.14330012466425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11040</v>
      </c>
      <c r="D12" s="263">
        <f t="shared" si="5"/>
        <v>1840</v>
      </c>
      <c r="E12" s="263">
        <f t="shared" si="0"/>
        <v>9200</v>
      </c>
      <c r="F12" s="261"/>
      <c r="G12" s="265">
        <f ca="1">DATA!$D$11/1000000</f>
        <v>1.2152865399200001</v>
      </c>
      <c r="H12" s="265">
        <f>C12*DATA!$D$5/1000000</f>
        <v>11.968740506587888</v>
      </c>
      <c r="I12" s="265">
        <f>(C12*DATA!$D$5*DATA!$D$7)/1000000</f>
        <v>0.2692966613982275</v>
      </c>
      <c r="J12" s="263">
        <f t="shared" ca="1" si="1"/>
        <v>13.453323707906117</v>
      </c>
      <c r="K12" s="261"/>
      <c r="L12" s="263">
        <f>((D12*DATA!$D$23)/1000000)+((E12*DATA!$D$24)/1000000)</f>
        <v>9.9359999999999999</v>
      </c>
      <c r="M12" s="263">
        <f t="shared" si="2"/>
        <v>9.9359999999999999</v>
      </c>
      <c r="N12" s="263">
        <f t="shared" ca="1" si="6"/>
        <v>-3.517323707906117</v>
      </c>
      <c r="O12" s="262">
        <f>1/(1+'[93]Asumsi I'!$C$3)^(KKF!A12)</f>
        <v>0.56742685571859919</v>
      </c>
      <c r="P12" s="263">
        <f t="shared" ca="1" si="7"/>
        <v>-1.9958239321216527</v>
      </c>
      <c r="Q12" s="263">
        <f t="shared" ca="1" si="9"/>
        <v>-53.139124056785903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11040</v>
      </c>
      <c r="D13" s="263">
        <f t="shared" si="5"/>
        <v>1840</v>
      </c>
      <c r="E13" s="263">
        <f t="shared" si="0"/>
        <v>9200</v>
      </c>
      <c r="F13" s="261"/>
      <c r="G13" s="265">
        <f ca="1">DATA!$D$11/1000000</f>
        <v>1.2152865399200001</v>
      </c>
      <c r="H13" s="265">
        <f>C13*DATA!$D$5/1000000</f>
        <v>11.968740506587888</v>
      </c>
      <c r="I13" s="265">
        <f>(C13*DATA!$D$5*DATA!$D$7)/1000000</f>
        <v>0.2692966613982275</v>
      </c>
      <c r="J13" s="263">
        <f t="shared" ca="1" si="1"/>
        <v>13.453323707906117</v>
      </c>
      <c r="K13" s="261"/>
      <c r="L13" s="263">
        <f>((D13*DATA!$D$23)/1000000)+((E13*DATA!$D$24)/1000000)</f>
        <v>9.9359999999999999</v>
      </c>
      <c r="M13" s="263">
        <f t="shared" si="2"/>
        <v>9.9359999999999999</v>
      </c>
      <c r="N13" s="263">
        <f t="shared" ca="1" si="6"/>
        <v>-3.517323707906117</v>
      </c>
      <c r="O13" s="262">
        <f>1/(1+'[93]Asumsi I'!$C$3)^(KKF!A13)</f>
        <v>0.50663112117732068</v>
      </c>
      <c r="P13" s="263">
        <f t="shared" ca="1" si="7"/>
        <v>-1.7819856536800469</v>
      </c>
      <c r="Q13" s="263">
        <f t="shared" ca="1" si="9"/>
        <v>-54.921109710465949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11040</v>
      </c>
      <c r="D14" s="263">
        <f t="shared" si="5"/>
        <v>1840</v>
      </c>
      <c r="E14" s="263">
        <f t="shared" si="0"/>
        <v>9200</v>
      </c>
      <c r="F14" s="261"/>
      <c r="G14" s="265">
        <f ca="1">DATA!$D$11/1000000</f>
        <v>1.2152865399200001</v>
      </c>
      <c r="H14" s="265">
        <f>C14*DATA!$D$5/1000000</f>
        <v>11.968740506587888</v>
      </c>
      <c r="I14" s="265">
        <f>(C14*DATA!$D$5*DATA!$D$7)/1000000</f>
        <v>0.2692966613982275</v>
      </c>
      <c r="J14" s="263">
        <f t="shared" ca="1" si="1"/>
        <v>13.453323707906117</v>
      </c>
      <c r="K14" s="261"/>
      <c r="L14" s="263">
        <f>((D14*DATA!$D$23)/1000000)+((E14*DATA!$D$24)/1000000)</f>
        <v>9.9359999999999999</v>
      </c>
      <c r="M14" s="263">
        <f t="shared" si="2"/>
        <v>9.9359999999999999</v>
      </c>
      <c r="N14" s="263">
        <f t="shared" ca="1" si="6"/>
        <v>-3.517323707906117</v>
      </c>
      <c r="O14" s="262">
        <f>1/(1+'[93]Asumsi I'!$C$3)^(KKF!A14)</f>
        <v>0.45234921533689343</v>
      </c>
      <c r="P14" s="263">
        <f t="shared" ca="1" si="7"/>
        <v>-1.5910586193571845</v>
      </c>
      <c r="Q14" s="263">
        <f t="shared" ca="1" si="9"/>
        <v>-56.512168329823133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11040</v>
      </c>
      <c r="D15" s="263">
        <f t="shared" si="5"/>
        <v>1840</v>
      </c>
      <c r="E15" s="263">
        <f t="shared" si="0"/>
        <v>9200</v>
      </c>
      <c r="F15" s="261"/>
      <c r="G15" s="265">
        <f ca="1">DATA!$D$11/1000000</f>
        <v>1.2152865399200001</v>
      </c>
      <c r="H15" s="265">
        <f>C15*DATA!$D$5/1000000</f>
        <v>11.968740506587888</v>
      </c>
      <c r="I15" s="265">
        <f>(C15*DATA!$D$5*DATA!$D$7)/1000000</f>
        <v>0.2692966613982275</v>
      </c>
      <c r="J15" s="263">
        <f t="shared" ca="1" si="1"/>
        <v>13.453323707906117</v>
      </c>
      <c r="K15" s="261"/>
      <c r="L15" s="263">
        <f>((D15*DATA!$D$23)/1000000)+((E15*DATA!$D$24)/1000000)</f>
        <v>9.9359999999999999</v>
      </c>
      <c r="M15" s="263">
        <f t="shared" si="2"/>
        <v>9.9359999999999999</v>
      </c>
      <c r="N15" s="263">
        <f t="shared" ca="1" si="6"/>
        <v>-3.517323707906117</v>
      </c>
      <c r="O15" s="262">
        <f>1/(1+'[93]Asumsi I'!$C$3)^(KKF!A15)</f>
        <v>0.4038832279793691</v>
      </c>
      <c r="P15" s="263">
        <f t="shared" ca="1" si="7"/>
        <v>-1.4205880529974861</v>
      </c>
      <c r="Q15" s="263">
        <f t="shared" ca="1" si="9"/>
        <v>-57.932756382820621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11040</v>
      </c>
      <c r="D16" s="263">
        <f t="shared" si="5"/>
        <v>1840</v>
      </c>
      <c r="E16" s="263">
        <f t="shared" si="0"/>
        <v>9200</v>
      </c>
      <c r="F16" s="261"/>
      <c r="G16" s="265">
        <f ca="1">DATA!$D$11/1000000</f>
        <v>1.2152865399200001</v>
      </c>
      <c r="H16" s="265">
        <f>C16*DATA!$D$5/1000000</f>
        <v>11.968740506587888</v>
      </c>
      <c r="I16" s="265">
        <f>(C16*DATA!$D$5*DATA!$D$7)/1000000</f>
        <v>0.2692966613982275</v>
      </c>
      <c r="J16" s="263">
        <f t="shared" ca="1" si="1"/>
        <v>13.453323707906117</v>
      </c>
      <c r="K16" s="261"/>
      <c r="L16" s="263">
        <f>((D16*DATA!$D$23)/1000000)+((E16*DATA!$D$24)/1000000)</f>
        <v>9.9359999999999999</v>
      </c>
      <c r="M16" s="263">
        <f t="shared" si="2"/>
        <v>9.9359999999999999</v>
      </c>
      <c r="N16" s="263">
        <f t="shared" ca="1" si="6"/>
        <v>-3.517323707906117</v>
      </c>
      <c r="O16" s="262">
        <f>1/(1+'[93]Asumsi I'!$C$3)^(KKF!A16)</f>
        <v>0.36061002498157957</v>
      </c>
      <c r="P16" s="263">
        <f t="shared" ca="1" si="7"/>
        <v>-1.268382190176327</v>
      </c>
      <c r="Q16" s="263">
        <f t="shared" ca="1" si="9"/>
        <v>-59.201138572996946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11040</v>
      </c>
      <c r="D17" s="263">
        <f t="shared" si="5"/>
        <v>1840</v>
      </c>
      <c r="E17" s="263">
        <f t="shared" si="0"/>
        <v>9200</v>
      </c>
      <c r="F17" s="261"/>
      <c r="G17" s="265">
        <f ca="1">DATA!$D$11/1000000</f>
        <v>1.2152865399200001</v>
      </c>
      <c r="H17" s="265">
        <f>C17*DATA!$D$5/1000000</f>
        <v>11.968740506587888</v>
      </c>
      <c r="I17" s="265">
        <f>(C17*DATA!$D$5*DATA!$D$7)/1000000</f>
        <v>0.2692966613982275</v>
      </c>
      <c r="J17" s="263">
        <f t="shared" ca="1" si="1"/>
        <v>13.453323707906117</v>
      </c>
      <c r="K17" s="261"/>
      <c r="L17" s="263">
        <f>((D17*DATA!$D$23)/1000000)+((E17*DATA!$D$24)/1000000)</f>
        <v>9.9359999999999999</v>
      </c>
      <c r="M17" s="263">
        <f t="shared" si="2"/>
        <v>9.9359999999999999</v>
      </c>
      <c r="N17" s="263">
        <f t="shared" ca="1" si="6"/>
        <v>-3.517323707906117</v>
      </c>
      <c r="O17" s="262">
        <f>1/(1+'[93]Asumsi I'!$C$3)^(KKF!A17)</f>
        <v>0.32197323659069599</v>
      </c>
      <c r="P17" s="263">
        <f t="shared" ca="1" si="7"/>
        <v>-1.1324840983717204</v>
      </c>
      <c r="Q17" s="263">
        <f t="shared" ca="1" si="9"/>
        <v>-60.333622671368666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11040</v>
      </c>
      <c r="D18" s="263">
        <f t="shared" si="5"/>
        <v>1840</v>
      </c>
      <c r="E18" s="263">
        <f t="shared" si="0"/>
        <v>9200</v>
      </c>
      <c r="F18" s="261"/>
      <c r="G18" s="265">
        <f ca="1">DATA!$D$11/1000000</f>
        <v>1.2152865399200001</v>
      </c>
      <c r="H18" s="265">
        <f>C18*DATA!$D$5/1000000</f>
        <v>11.968740506587888</v>
      </c>
      <c r="I18" s="265">
        <f>(C18*DATA!$D$5*DATA!$D$7)/1000000</f>
        <v>0.2692966613982275</v>
      </c>
      <c r="J18" s="263">
        <f t="shared" ca="1" si="1"/>
        <v>13.453323707906117</v>
      </c>
      <c r="K18" s="261"/>
      <c r="L18" s="263">
        <f>((D18*DATA!$D$23)/1000000)+((E18*DATA!$D$24)/1000000)</f>
        <v>9.9359999999999999</v>
      </c>
      <c r="M18" s="263">
        <f t="shared" si="2"/>
        <v>9.9359999999999999</v>
      </c>
      <c r="N18" s="263">
        <f t="shared" ca="1" si="6"/>
        <v>-3.517323707906117</v>
      </c>
      <c r="O18" s="262">
        <f>1/(1+'[93]Asumsi I'!$C$3)^(KKF!A18)</f>
        <v>0.28747610409883567</v>
      </c>
      <c r="P18" s="263">
        <f t="shared" ca="1" si="7"/>
        <v>-1.0111465164033215</v>
      </c>
      <c r="Q18" s="263">
        <f t="shared" ca="1" si="9"/>
        <v>-61.344769187771988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11040</v>
      </c>
      <c r="D19" s="263">
        <f t="shared" si="5"/>
        <v>1840</v>
      </c>
      <c r="E19" s="263">
        <f t="shared" si="0"/>
        <v>9200</v>
      </c>
      <c r="F19" s="261"/>
      <c r="G19" s="265">
        <f ca="1">DATA!$D$11/1000000</f>
        <v>1.2152865399200001</v>
      </c>
      <c r="H19" s="265">
        <f>C19*DATA!$D$5/1000000</f>
        <v>11.968740506587888</v>
      </c>
      <c r="I19" s="265">
        <f>(C19*DATA!$D$5*DATA!$D$7)/1000000</f>
        <v>0.2692966613982275</v>
      </c>
      <c r="J19" s="263">
        <f t="shared" ca="1" si="1"/>
        <v>13.453323707906117</v>
      </c>
      <c r="K19" s="261"/>
      <c r="L19" s="263">
        <f>((D19*DATA!$D$23)/1000000)+((E19*DATA!$D$24)/1000000)</f>
        <v>9.9359999999999999</v>
      </c>
      <c r="M19" s="263">
        <f t="shared" si="2"/>
        <v>9.9359999999999999</v>
      </c>
      <c r="N19" s="263">
        <f t="shared" ca="1" si="6"/>
        <v>-3.517323707906117</v>
      </c>
      <c r="O19" s="262">
        <f>1/(1+'[93]Asumsi I'!$C$3)^(KKF!A19)</f>
        <v>0.25667509294538904</v>
      </c>
      <c r="P19" s="263">
        <f t="shared" ca="1" si="7"/>
        <v>-0.90280938964582302</v>
      </c>
      <c r="Q19" s="263">
        <f t="shared" ca="1" si="9"/>
        <v>-62.247578577417812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11040</v>
      </c>
      <c r="D20" s="263">
        <f t="shared" si="5"/>
        <v>1840</v>
      </c>
      <c r="E20" s="263">
        <f t="shared" si="0"/>
        <v>9200</v>
      </c>
      <c r="F20" s="261"/>
      <c r="G20" s="265">
        <f ca="1">DATA!$D$11/1000000</f>
        <v>1.2152865399200001</v>
      </c>
      <c r="H20" s="265">
        <f>C20*DATA!$D$5/1000000</f>
        <v>11.968740506587888</v>
      </c>
      <c r="I20" s="265">
        <f>(C20*DATA!$D$5*DATA!$D$7)/1000000</f>
        <v>0.2692966613982275</v>
      </c>
      <c r="J20" s="263">
        <f t="shared" ca="1" si="1"/>
        <v>13.453323707906117</v>
      </c>
      <c r="K20" s="261"/>
      <c r="L20" s="263">
        <f>((D20*DATA!$D$23)/1000000)+((E20*DATA!$D$24)/1000000)</f>
        <v>9.9359999999999999</v>
      </c>
      <c r="M20" s="263">
        <f t="shared" si="2"/>
        <v>9.9359999999999999</v>
      </c>
      <c r="N20" s="263">
        <f t="shared" ca="1" si="6"/>
        <v>-3.517323707906117</v>
      </c>
      <c r="O20" s="262">
        <f>1/(1+'[93]Asumsi I'!$C$3)^(KKF!A20)</f>
        <v>0.22917419012981158</v>
      </c>
      <c r="P20" s="263">
        <f t="shared" ca="1" si="7"/>
        <v>-0.80607981218377034</v>
      </c>
      <c r="Q20" s="263">
        <f t="shared" ca="1" si="9"/>
        <v>-63.05365838960158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11040</v>
      </c>
      <c r="D21" s="263">
        <f t="shared" si="5"/>
        <v>1840</v>
      </c>
      <c r="E21" s="263">
        <f t="shared" si="0"/>
        <v>9200</v>
      </c>
      <c r="F21" s="261"/>
      <c r="G21" s="265">
        <f ca="1">DATA!$D$11/1000000</f>
        <v>1.2152865399200001</v>
      </c>
      <c r="H21" s="265">
        <f>C21*DATA!$D$5/1000000</f>
        <v>11.968740506587888</v>
      </c>
      <c r="I21" s="265">
        <f>(C21*DATA!$D$5*DATA!$D$7)/1000000</f>
        <v>0.2692966613982275</v>
      </c>
      <c r="J21" s="263">
        <f t="shared" ca="1" si="1"/>
        <v>13.453323707906117</v>
      </c>
      <c r="K21" s="261"/>
      <c r="L21" s="263">
        <f>((D21*DATA!$D$23)/1000000)+((E21*DATA!$D$24)/1000000)</f>
        <v>9.9359999999999999</v>
      </c>
      <c r="M21" s="263">
        <f t="shared" si="2"/>
        <v>9.9359999999999999</v>
      </c>
      <c r="N21" s="263">
        <f t="shared" ca="1" si="6"/>
        <v>-3.517323707906117</v>
      </c>
      <c r="O21" s="262">
        <f>1/(1+'[93]Asumsi I'!$C$3)^(KKF!A21)</f>
        <v>0.20461981261590317</v>
      </c>
      <c r="P21" s="263">
        <f t="shared" ca="1" si="7"/>
        <v>-0.71971411802122343</v>
      </c>
      <c r="Q21" s="263">
        <f t="shared" ca="1" si="9"/>
        <v>-63.773372507622803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11040</v>
      </c>
      <c r="D22" s="263">
        <f t="shared" si="5"/>
        <v>1840</v>
      </c>
      <c r="E22" s="263">
        <f t="shared" si="0"/>
        <v>9200</v>
      </c>
      <c r="F22" s="261"/>
      <c r="G22" s="265">
        <f ca="1">DATA!$D$11/1000000</f>
        <v>1.2152865399200001</v>
      </c>
      <c r="H22" s="265">
        <f>C22*DATA!$D$5/1000000</f>
        <v>11.968740506587888</v>
      </c>
      <c r="I22" s="265">
        <f>(C22*DATA!$D$5*DATA!$D$7)/1000000</f>
        <v>0.2692966613982275</v>
      </c>
      <c r="J22" s="263">
        <f t="shared" ca="1" si="1"/>
        <v>13.453323707906117</v>
      </c>
      <c r="K22" s="261"/>
      <c r="L22" s="263">
        <f>((D22*DATA!$D$23)/1000000)+((E22*DATA!$D$24)/1000000)</f>
        <v>9.9359999999999999</v>
      </c>
      <c r="M22" s="263">
        <f t="shared" si="2"/>
        <v>9.9359999999999999</v>
      </c>
      <c r="N22" s="263">
        <f t="shared" ca="1" si="6"/>
        <v>-3.517323707906117</v>
      </c>
      <c r="O22" s="262">
        <f>1/(1+'[93]Asumsi I'!$C$3)^(KKF!A22)</f>
        <v>0.18269626126419927</v>
      </c>
      <c r="P22" s="263">
        <f t="shared" ca="1" si="7"/>
        <v>-0.64260189109037813</v>
      </c>
      <c r="Q22" s="263">
        <f t="shared" ca="1" si="9"/>
        <v>-64.415974398713175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11040</v>
      </c>
      <c r="D23" s="263">
        <f t="shared" si="5"/>
        <v>1840</v>
      </c>
      <c r="E23" s="263">
        <f t="shared" si="0"/>
        <v>9200</v>
      </c>
      <c r="F23" s="261"/>
      <c r="G23" s="265">
        <f ca="1">DATA!$D$11/1000000</f>
        <v>1.2152865399200001</v>
      </c>
      <c r="H23" s="265">
        <f>C23*DATA!$D$5/1000000</f>
        <v>11.968740506587888</v>
      </c>
      <c r="I23" s="265">
        <f>(C23*DATA!$D$5*DATA!$D$7)/1000000</f>
        <v>0.2692966613982275</v>
      </c>
      <c r="J23" s="263">
        <f t="shared" ca="1" si="1"/>
        <v>13.453323707906117</v>
      </c>
      <c r="K23" s="261"/>
      <c r="L23" s="263">
        <f>((D23*DATA!$D$23)/1000000)+((E23*DATA!$D$24)/1000000)</f>
        <v>9.9359999999999999</v>
      </c>
      <c r="M23" s="263">
        <f t="shared" si="2"/>
        <v>9.9359999999999999</v>
      </c>
      <c r="N23" s="263">
        <f t="shared" ca="1" si="6"/>
        <v>-3.517323707906117</v>
      </c>
      <c r="O23" s="262">
        <f>1/(1+'[93]Asumsi I'!$C$3)^(KKF!A23)</f>
        <v>0.16312166184303503</v>
      </c>
      <c r="P23" s="263">
        <f t="shared" ca="1" si="7"/>
        <v>-0.57375168847355174</v>
      </c>
      <c r="Q23" s="263">
        <f t="shared" ca="1" si="9"/>
        <v>-64.989726087186725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11040</v>
      </c>
      <c r="D24" s="263">
        <f t="shared" si="5"/>
        <v>1840</v>
      </c>
      <c r="E24" s="263">
        <f t="shared" si="0"/>
        <v>9200</v>
      </c>
      <c r="F24" s="261"/>
      <c r="G24" s="265">
        <f ca="1">DATA!$D$11/1000000</f>
        <v>1.2152865399200001</v>
      </c>
      <c r="H24" s="265">
        <f>C24*DATA!$D$5/1000000</f>
        <v>11.968740506587888</v>
      </c>
      <c r="I24" s="265">
        <f>(C24*DATA!$D$5*DATA!$D$7)/1000000</f>
        <v>0.2692966613982275</v>
      </c>
      <c r="J24" s="263">
        <f t="shared" ca="1" si="1"/>
        <v>13.453323707906117</v>
      </c>
      <c r="K24" s="261"/>
      <c r="L24" s="263">
        <f>((D24*DATA!$D$23)/1000000)+((E24*DATA!$D$24)/1000000)</f>
        <v>9.9359999999999999</v>
      </c>
      <c r="M24" s="263">
        <f t="shared" si="2"/>
        <v>9.9359999999999999</v>
      </c>
      <c r="N24" s="263">
        <f t="shared" ca="1" si="6"/>
        <v>-3.517323707906117</v>
      </c>
      <c r="O24" s="262">
        <f>1/(1+'[93]Asumsi I'!$C$3)^(KKF!A24)</f>
        <v>0.14564434093128129</v>
      </c>
      <c r="P24" s="263">
        <f t="shared" ca="1" si="7"/>
        <v>-0.51227829327995689</v>
      </c>
      <c r="Q24" s="263">
        <f t="shared" ca="1" si="9"/>
        <v>-65.502004380466687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11040</v>
      </c>
      <c r="D25" s="263">
        <f t="shared" si="5"/>
        <v>1840</v>
      </c>
      <c r="E25" s="263">
        <f t="shared" si="0"/>
        <v>9200</v>
      </c>
      <c r="F25" s="261"/>
      <c r="G25" s="265">
        <f ca="1">DATA!$D$11/1000000</f>
        <v>1.2152865399200001</v>
      </c>
      <c r="H25" s="265">
        <f>C25*DATA!$D$5/1000000</f>
        <v>11.968740506587888</v>
      </c>
      <c r="I25" s="265">
        <f>(C25*DATA!$D$5*DATA!$D$7)/1000000</f>
        <v>0.2692966613982275</v>
      </c>
      <c r="J25" s="263">
        <f t="shared" ca="1" si="1"/>
        <v>13.453323707906117</v>
      </c>
      <c r="K25" s="261"/>
      <c r="L25" s="263">
        <f>((D25*DATA!$D$23)/1000000)+((E25*DATA!$D$24)/1000000)</f>
        <v>9.9359999999999999</v>
      </c>
      <c r="M25" s="263">
        <f t="shared" si="2"/>
        <v>9.9359999999999999</v>
      </c>
      <c r="N25" s="263">
        <f t="shared" ca="1" si="6"/>
        <v>-3.517323707906117</v>
      </c>
      <c r="O25" s="262">
        <f>1/(1+'[93]Asumsi I'!$C$3)^(KKF!A25)</f>
        <v>0.13003959011721541</v>
      </c>
      <c r="P25" s="263">
        <f t="shared" ca="1" si="7"/>
        <v>-0.45739133328567577</v>
      </c>
      <c r="Q25" s="263">
        <f t="shared" ca="1" si="9"/>
        <v>-65.959395713752357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11040</v>
      </c>
      <c r="D26" s="263">
        <f t="shared" si="5"/>
        <v>1840</v>
      </c>
      <c r="E26" s="263">
        <f t="shared" si="0"/>
        <v>9200</v>
      </c>
      <c r="F26" s="261"/>
      <c r="G26" s="265">
        <f ca="1">DATA!$D$11/1000000</f>
        <v>1.2152865399200001</v>
      </c>
      <c r="H26" s="265">
        <f>C26*DATA!$D$5/1000000</f>
        <v>11.968740506587888</v>
      </c>
      <c r="I26" s="265">
        <f>(C26*DATA!$D$5*DATA!$D$7)/1000000</f>
        <v>0.2692966613982275</v>
      </c>
      <c r="J26" s="263">
        <f t="shared" ca="1" si="1"/>
        <v>13.453323707906117</v>
      </c>
      <c r="K26" s="261"/>
      <c r="L26" s="263">
        <f>((D26*DATA!$D$23)/1000000)+((E26*DATA!$D$24)/1000000)</f>
        <v>9.9359999999999999</v>
      </c>
      <c r="M26" s="263">
        <f t="shared" si="2"/>
        <v>9.9359999999999999</v>
      </c>
      <c r="N26" s="263">
        <f t="shared" ca="1" si="6"/>
        <v>-3.517323707906117</v>
      </c>
      <c r="O26" s="262">
        <f>1/(1+'[93]Asumsi I'!$C$3)^(KKF!A26)</f>
        <v>0.1161067768903709</v>
      </c>
      <c r="P26" s="263">
        <f t="shared" ca="1" si="7"/>
        <v>-0.40838511900506763</v>
      </c>
      <c r="Q26" s="263">
        <f t="shared" ca="1" si="9"/>
        <v>-66.367780832757418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11040</v>
      </c>
      <c r="D27" s="263">
        <f t="shared" si="5"/>
        <v>1840</v>
      </c>
      <c r="E27" s="263">
        <f t="shared" si="0"/>
        <v>9200</v>
      </c>
      <c r="F27" s="261"/>
      <c r="G27" s="265">
        <f ca="1">DATA!$D$11/1000000</f>
        <v>1.2152865399200001</v>
      </c>
      <c r="H27" s="265">
        <f>C27*DATA!$D$5/1000000</f>
        <v>11.968740506587888</v>
      </c>
      <c r="I27" s="265">
        <f>(C27*DATA!$D$5*DATA!$D$7)/1000000</f>
        <v>0.2692966613982275</v>
      </c>
      <c r="J27" s="263">
        <f t="shared" ca="1" si="1"/>
        <v>13.453323707906117</v>
      </c>
      <c r="K27" s="261"/>
      <c r="L27" s="263">
        <f>((D27*DATA!$D$23)/1000000)+((E27*DATA!$D$24)/1000000)</f>
        <v>9.9359999999999999</v>
      </c>
      <c r="M27" s="263">
        <f t="shared" si="2"/>
        <v>9.9359999999999999</v>
      </c>
      <c r="N27" s="263">
        <f t="shared" ca="1" si="6"/>
        <v>-3.517323707906117</v>
      </c>
      <c r="O27" s="262">
        <f>1/(1+'[93]Asumsi I'!$C$3)^(KKF!A27)</f>
        <v>0.1036667650806883</v>
      </c>
      <c r="P27" s="263">
        <f t="shared" ca="1" si="7"/>
        <v>-0.36462957054023892</v>
      </c>
      <c r="Q27" s="263">
        <f t="shared" ca="1" si="9"/>
        <v>-66.732410403297663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11040</v>
      </c>
      <c r="D28" s="263">
        <f t="shared" si="5"/>
        <v>1840</v>
      </c>
      <c r="E28" s="263">
        <f t="shared" si="0"/>
        <v>9200</v>
      </c>
      <c r="F28" s="261"/>
      <c r="G28" s="265">
        <f ca="1">DATA!$D$11/1000000</f>
        <v>1.2152865399200001</v>
      </c>
      <c r="H28" s="265">
        <f>C28*DATA!$D$5/1000000</f>
        <v>11.968740506587888</v>
      </c>
      <c r="I28" s="265">
        <f>(C28*DATA!$D$5*DATA!$D$7)/1000000</f>
        <v>0.2692966613982275</v>
      </c>
      <c r="J28" s="263">
        <f t="shared" ca="1" si="1"/>
        <v>13.453323707906117</v>
      </c>
      <c r="K28" s="261"/>
      <c r="L28" s="263">
        <f>((D28*DATA!$D$23)/1000000)+((E28*DATA!$D$24)/1000000)</f>
        <v>9.9359999999999999</v>
      </c>
      <c r="M28" s="263">
        <f t="shared" si="2"/>
        <v>9.9359999999999999</v>
      </c>
      <c r="N28" s="263">
        <f t="shared" ca="1" si="6"/>
        <v>-3.517323707906117</v>
      </c>
      <c r="O28" s="262">
        <f>1/(1+'[93]Asumsi I'!$C$3)^(KKF!A28)</f>
        <v>9.2559611679185971E-2</v>
      </c>
      <c r="P28" s="263">
        <f t="shared" ca="1" si="7"/>
        <v>-0.32556211655378475</v>
      </c>
      <c r="Q28" s="263">
        <f t="shared" ca="1" si="9"/>
        <v>-67.057972519851447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11040</v>
      </c>
      <c r="D29" s="263">
        <f t="shared" si="5"/>
        <v>1840</v>
      </c>
      <c r="E29" s="263">
        <f t="shared" si="0"/>
        <v>9200</v>
      </c>
      <c r="F29" s="261"/>
      <c r="G29" s="265">
        <f ca="1">DATA!$D$11/1000000</f>
        <v>1.2152865399200001</v>
      </c>
      <c r="H29" s="265">
        <f>C29*DATA!$D$5/1000000</f>
        <v>11.968740506587888</v>
      </c>
      <c r="I29" s="265">
        <f>(C29*DATA!$D$5*DATA!$D$7)/1000000</f>
        <v>0.2692966613982275</v>
      </c>
      <c r="J29" s="263">
        <f t="shared" ca="1" si="1"/>
        <v>13.453323707906117</v>
      </c>
      <c r="K29" s="261"/>
      <c r="L29" s="263">
        <f>((D29*DATA!$D$23)/1000000)+((E29*DATA!$D$24)/1000000)</f>
        <v>9.9359999999999999</v>
      </c>
      <c r="M29" s="263">
        <f t="shared" si="2"/>
        <v>9.9359999999999999</v>
      </c>
      <c r="N29" s="263">
        <f t="shared" ca="1" si="6"/>
        <v>-3.517323707906117</v>
      </c>
      <c r="O29" s="262">
        <f>1/(1+'[93]Asumsi I'!$C$3)^(KKF!A29)</f>
        <v>8.2642510427844609E-2</v>
      </c>
      <c r="P29" s="263">
        <f t="shared" ca="1" si="7"/>
        <v>-0.29068046120873636</v>
      </c>
      <c r="Q29" s="263">
        <f t="shared" ca="1" si="9"/>
        <v>-67.348652981060184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11040</v>
      </c>
      <c r="D30" s="263">
        <f t="shared" si="5"/>
        <v>1840</v>
      </c>
      <c r="E30" s="263">
        <f t="shared" si="0"/>
        <v>9200</v>
      </c>
      <c r="F30" s="261"/>
      <c r="G30" s="265">
        <f ca="1">DATA!$D$11/1000000</f>
        <v>1.2152865399200001</v>
      </c>
      <c r="H30" s="265">
        <f>C30*DATA!$D$5/1000000</f>
        <v>11.968740506587888</v>
      </c>
      <c r="I30" s="265">
        <f>(C30*DATA!$D$5*DATA!$D$7)/1000000</f>
        <v>0.2692966613982275</v>
      </c>
      <c r="J30" s="263">
        <f t="shared" ca="1" si="1"/>
        <v>13.453323707906117</v>
      </c>
      <c r="K30" s="261"/>
      <c r="L30" s="263">
        <f>((D30*DATA!$D$23)/1000000)+((E30*DATA!$D$24)/1000000)</f>
        <v>9.9359999999999999</v>
      </c>
      <c r="M30" s="263">
        <f t="shared" si="2"/>
        <v>9.9359999999999999</v>
      </c>
      <c r="N30" s="263">
        <f t="shared" ca="1" si="6"/>
        <v>-3.517323707906117</v>
      </c>
      <c r="O30" s="262">
        <f>1/(1+'[93]Asumsi I'!$C$3)^(KKF!A30)</f>
        <v>7.3787955739146982E-2</v>
      </c>
      <c r="P30" s="263">
        <f t="shared" ca="1" si="7"/>
        <v>-0.25953612607922893</v>
      </c>
      <c r="Q30" s="263">
        <f t="shared" ca="1" si="9"/>
        <v>-67.60818910713941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11040</v>
      </c>
      <c r="D31" s="263">
        <f t="shared" si="5"/>
        <v>1840</v>
      </c>
      <c r="E31" s="263">
        <f t="shared" si="0"/>
        <v>9200</v>
      </c>
      <c r="F31" s="261"/>
      <c r="G31" s="265">
        <f ca="1">DATA!$D$11/1000000</f>
        <v>1.2152865399200001</v>
      </c>
      <c r="H31" s="265">
        <f>C31*DATA!$D$5/1000000</f>
        <v>11.968740506587888</v>
      </c>
      <c r="I31" s="265">
        <f>(C31*DATA!$D$5*DATA!$D$7)/1000000</f>
        <v>0.2692966613982275</v>
      </c>
      <c r="J31" s="263">
        <f t="shared" ca="1" si="1"/>
        <v>13.453323707906117</v>
      </c>
      <c r="K31" s="261"/>
      <c r="L31" s="263">
        <f>((D31*DATA!$D$23)/1000000)+((E31*DATA!$D$24)/1000000)</f>
        <v>9.9359999999999999</v>
      </c>
      <c r="M31" s="263">
        <f t="shared" si="2"/>
        <v>9.9359999999999999</v>
      </c>
      <c r="N31" s="263">
        <f t="shared" ca="1" si="6"/>
        <v>-3.517323707906117</v>
      </c>
      <c r="O31" s="262">
        <f>1/(1+'[93]Asumsi I'!$C$3)^(KKF!A31)</f>
        <v>6.5882103338524081E-2</v>
      </c>
      <c r="P31" s="263">
        <f t="shared" ca="1" si="7"/>
        <v>-0.23172868399931149</v>
      </c>
      <c r="Q31" s="263">
        <f ca="1">Q30+P31</f>
        <v>-67.839917791138717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11040</v>
      </c>
      <c r="D32" s="263">
        <f t="shared" si="5"/>
        <v>1840</v>
      </c>
      <c r="E32" s="263">
        <f t="shared" si="0"/>
        <v>9200</v>
      </c>
      <c r="F32" s="261"/>
      <c r="G32" s="265">
        <f ca="1">DATA!$D$11/1000000</f>
        <v>1.2152865399200001</v>
      </c>
      <c r="H32" s="265">
        <f>C32*DATA!$D$5/1000000</f>
        <v>11.968740506587888</v>
      </c>
      <c r="I32" s="265">
        <f>(C32*DATA!$D$5*DATA!$D$7)/1000000</f>
        <v>0.2692966613982275</v>
      </c>
      <c r="J32" s="263">
        <f t="shared" ca="1" si="1"/>
        <v>13.453323707906117</v>
      </c>
      <c r="K32" s="261"/>
      <c r="L32" s="263">
        <f>((D32*DATA!$D$23)/1000000)+((E32*DATA!$D$24)/1000000)</f>
        <v>9.9359999999999999</v>
      </c>
      <c r="M32" s="263">
        <f t="shared" si="2"/>
        <v>9.9359999999999999</v>
      </c>
      <c r="N32" s="263">
        <f t="shared" ca="1" si="6"/>
        <v>-3.517323707906117</v>
      </c>
      <c r="O32" s="262">
        <f>1/(1+'[93]Asumsi I'!$C$3)^(KKF!A32)</f>
        <v>5.8823306552253637E-2</v>
      </c>
      <c r="P32" s="263">
        <f t="shared" ca="1" si="7"/>
        <v>-0.20690061071367094</v>
      </c>
      <c r="Q32" s="263">
        <f ca="1">Q31+P32</f>
        <v>-68.046818401852391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3" t="s">
        <v>1373</v>
      </c>
      <c r="G33" s="613"/>
      <c r="H33" s="613"/>
      <c r="I33" s="271"/>
      <c r="J33" s="272">
        <f ca="1">SUM(J7:J32)</f>
        <v>402.39205195623509</v>
      </c>
      <c r="K33" s="613" t="s">
        <v>1374</v>
      </c>
      <c r="L33" s="613"/>
      <c r="M33" s="272">
        <f>SUM(M7:M32)</f>
        <v>273.99900000000008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-18.781029198449101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0.68092547720053054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-60.756087858796775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20"/>
  <sheetViews>
    <sheetView showGridLines="0" zoomScale="70" zoomScaleNormal="70" zoomScaleSheetLayoutView="70" workbookViewId="0">
      <pane ySplit="13" topLeftCell="A83" activePane="bottomLeft" state="frozen"/>
      <selection activeCell="H1093" sqref="H1093"/>
      <selection pane="bottomLeft" activeCell="F90" sqref="F90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6" t="s">
        <v>1036</v>
      </c>
      <c r="P3" s="616"/>
      <c r="Q3" s="293"/>
      <c r="T3" s="291"/>
      <c r="U3" s="292" t="s">
        <v>1041</v>
      </c>
      <c r="V3" s="291"/>
    </row>
    <row r="4" spans="1:22" ht="15.75" customHeight="1">
      <c r="B4" s="617" t="s">
        <v>1023</v>
      </c>
      <c r="C4" s="617"/>
      <c r="D4" s="617"/>
      <c r="E4" s="617"/>
      <c r="F4" s="617"/>
      <c r="G4" s="617"/>
      <c r="H4" s="617"/>
      <c r="I4" s="617"/>
      <c r="J4" s="617"/>
      <c r="K4" s="617"/>
      <c r="O4" s="616"/>
      <c r="P4" s="616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3" t="s">
        <v>1640</v>
      </c>
      <c r="H6" s="634"/>
      <c r="I6" s="634"/>
      <c r="J6" s="634"/>
      <c r="K6" s="634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1641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9" t="s">
        <v>0</v>
      </c>
      <c r="C11" s="621" t="s">
        <v>1</v>
      </c>
      <c r="D11" s="624" t="s">
        <v>42</v>
      </c>
      <c r="E11" s="624" t="s">
        <v>43</v>
      </c>
      <c r="F11" s="624" t="s">
        <v>2</v>
      </c>
      <c r="G11" s="626" t="s">
        <v>41</v>
      </c>
      <c r="H11" s="624" t="s">
        <v>3</v>
      </c>
      <c r="I11" s="624"/>
      <c r="J11" s="624"/>
      <c r="K11" s="64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0"/>
      <c r="C12" s="622"/>
      <c r="D12" s="625"/>
      <c r="E12" s="625"/>
      <c r="F12" s="625"/>
      <c r="G12" s="627"/>
      <c r="H12" s="629" t="s">
        <v>46</v>
      </c>
      <c r="I12" s="629" t="s">
        <v>5</v>
      </c>
      <c r="J12" s="625" t="s">
        <v>47</v>
      </c>
      <c r="K12" s="645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0"/>
      <c r="C13" s="623"/>
      <c r="D13" s="625"/>
      <c r="E13" s="625"/>
      <c r="F13" s="625"/>
      <c r="G13" s="628"/>
      <c r="H13" s="630"/>
      <c r="I13" s="630"/>
      <c r="J13" s="625"/>
      <c r="K13" s="645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21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4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ca="1" si="4"/>
        <v>0</v>
      </c>
      <c r="I17" s="308">
        <f t="shared" ca="1" si="5"/>
        <v>13530400</v>
      </c>
      <c r="J17" s="308">
        <f t="shared" ca="1" si="6"/>
        <v>0</v>
      </c>
      <c r="K17" s="309">
        <f t="shared" ca="1" si="7"/>
        <v>13530400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4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40266.666666666672</v>
      </c>
      <c r="K18" s="309">
        <f t="shared" ca="1" si="7"/>
        <v>40266.666666666672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19" t="s">
        <v>1035</v>
      </c>
      <c r="C20" s="720" t="s">
        <v>1628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3">
        <v>4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19">
        <v>1</v>
      </c>
      <c r="C21" s="720" t="s">
        <v>595</v>
      </c>
      <c r="D21" s="305" t="str">
        <f ca="1">IF(ISERROR(OFFSET('HARGA SATUAN'!$D$6,MATCH(RAB!C21,'HARGA SATUAN'!$C$7:$C$1495,0),0)),"",OFFSET('HARGA SATUAN'!$D$6,MATCH(RAB!C21,'HARGA SATUAN'!$C$7:$C$1495,0),0))</f>
        <v>HDW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3">
        <f>F20*1</f>
        <v>4</v>
      </c>
      <c r="G21" s="307">
        <f ca="1">IF(ISERROR(OFFSET('HARGA SATUAN'!$I$6,MATCH(RAB!C21,'HARGA SATUAN'!$C$7:$C$1495,0),0)),0,OFFSET('HARGA SATUAN'!$I$6,MATCH(RAB!C21,'HARGA SATUAN'!$C$7:$C$1495,0),0))</f>
        <v>78500</v>
      </c>
      <c r="H21" s="308">
        <f t="shared" ref="H21:H39" ca="1" si="9">IF(OR(D21="MDU",D21="MDU-KD"),(IF($O$3="RAB NON MDU","PLN KD",G21*F21)),0)</f>
        <v>0</v>
      </c>
      <c r="I21" s="308">
        <f t="shared" ref="I21:I39" ca="1" si="10">IF(D21="HDW",G21*F21,0)</f>
        <v>314000</v>
      </c>
      <c r="J21" s="308">
        <f t="shared" ref="J21:J39" ca="1" si="11">IF(D21="JASA",G21*F21,0)</f>
        <v>0</v>
      </c>
      <c r="K21" s="309">
        <f t="shared" ref="K21:K39" ca="1" si="12">SUM(H21:J21)</f>
        <v>314000</v>
      </c>
      <c r="L21" s="316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19">
        <v>2</v>
      </c>
      <c r="C22" s="720" t="s">
        <v>229</v>
      </c>
      <c r="D22" s="305" t="str">
        <f ca="1">IF(ISERROR(OFFSET('HARGA SATUAN'!$D$6,MATCH(RAB!C22,'HARGA SATUAN'!$C$7:$C$1495,0),0)),"",OFFSET('HARGA SATUAN'!$D$6,MATCH(RAB!C22,'HARGA SATUAN'!$C$7:$C$1495,0),0))</f>
        <v>HDW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53">
        <f>F20*1</f>
        <v>4</v>
      </c>
      <c r="G22" s="307">
        <f ca="1">IF(ISERROR(OFFSET('HARGA SATUAN'!$I$6,MATCH(RAB!C22,'HARGA SATUAN'!$C$7:$C$1495,0),0)),0,OFFSET('HARGA SATUAN'!$I$6,MATCH(RAB!C22,'HARGA SATUAN'!$C$7:$C$1495,0),0))</f>
        <v>4212</v>
      </c>
      <c r="H22" s="308">
        <f t="shared" ca="1" si="9"/>
        <v>0</v>
      </c>
      <c r="I22" s="308">
        <f t="shared" ca="1" si="10"/>
        <v>16848</v>
      </c>
      <c r="J22" s="308">
        <f t="shared" ca="1" si="11"/>
        <v>0</v>
      </c>
      <c r="K22" s="309">
        <f t="shared" ca="1" si="12"/>
        <v>16848</v>
      </c>
      <c r="L22" s="316"/>
      <c r="M22" s="289" t="str">
        <f t="shared" ref="M22:M39" ca="1" si="13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19">
        <v>3</v>
      </c>
      <c r="C23" s="720" t="s">
        <v>266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3">
        <f>F20*1</f>
        <v>4</v>
      </c>
      <c r="G23" s="307">
        <f ca="1">IF(ISERROR(OFFSET('HARGA SATUAN'!$I$6,MATCH(RAB!C23,'HARGA SATUAN'!$C$7:$C$1495,0),0)),0,OFFSET('HARGA SATUAN'!$I$6,MATCH(RAB!C23,'HARGA SATUAN'!$C$7:$C$1495,0),0))</f>
        <v>23310</v>
      </c>
      <c r="H23" s="308">
        <f t="shared" ca="1" si="9"/>
        <v>0</v>
      </c>
      <c r="I23" s="308">
        <f t="shared" ca="1" si="10"/>
        <v>93240</v>
      </c>
      <c r="J23" s="308">
        <f t="shared" ca="1" si="11"/>
        <v>0</v>
      </c>
      <c r="K23" s="309">
        <f t="shared" ca="1" si="12"/>
        <v>93240</v>
      </c>
      <c r="L23" s="316"/>
      <c r="M23" s="289" t="str">
        <f t="shared" ca="1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19">
        <v>4</v>
      </c>
      <c r="C24" s="720" t="s">
        <v>35</v>
      </c>
      <c r="D24" s="305" t="str">
        <f ca="1">IF(ISERROR(OFFSET('HARGA SATUAN'!$D$6,MATCH(RAB!C24,'HARGA SATUAN'!$C$7:$C$1495,0),0)),"",OFFSET('HARGA SATUAN'!$D$6,MATCH(RAB!C24,'HARGA SATUAN'!$C$7:$C$1495,0),0))</f>
        <v>HDW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53">
        <f>F20*1</f>
        <v>4</v>
      </c>
      <c r="G24" s="307">
        <f ca="1">IF(ISERROR(OFFSET('HARGA SATUAN'!$I$6,MATCH(RAB!C24,'HARGA SATUAN'!$C$7:$C$1495,0),0)),0,OFFSET('HARGA SATUAN'!$I$6,MATCH(RAB!C24,'HARGA SATUAN'!$C$7:$C$1495,0),0))</f>
        <v>2300</v>
      </c>
      <c r="H24" s="308">
        <f t="shared" ca="1" si="9"/>
        <v>0</v>
      </c>
      <c r="I24" s="308">
        <f t="shared" ca="1" si="10"/>
        <v>9200</v>
      </c>
      <c r="J24" s="308">
        <f t="shared" ca="1" si="11"/>
        <v>0</v>
      </c>
      <c r="K24" s="309">
        <f t="shared" ca="1" si="12"/>
        <v>9200</v>
      </c>
      <c r="L24" s="316"/>
      <c r="M24" s="289" t="str">
        <f t="shared" ca="1" si="13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19">
        <v>5</v>
      </c>
      <c r="C25" s="720" t="s">
        <v>630</v>
      </c>
      <c r="D25" s="305" t="str">
        <f ca="1">IF(ISERROR(OFFSET('HARGA SATUAN'!$D$6,MATCH(RAB!C25,'HARGA SATUAN'!$C$7:$C$1495,0),0)),"",OFFSET('HARGA SATUAN'!$D$6,MATCH(RAB!C25,'HARGA SATUAN'!$C$7:$C$1495,0),0))</f>
        <v>JASA</v>
      </c>
      <c r="E25" s="306" t="str">
        <f ca="1">IF(B25="+","Unit",IF(ISERROR(OFFSET('HARGA SATUAN'!$E$6,MATCH(RAB!C25,'HARGA SATUAN'!$C$7:$C$1495,0),0)),"",OFFSET('HARGA SATUAN'!$E$6,MATCH(RAB!C25,'HARGA SATUAN'!$C$7:$C$1495,0),0)))</f>
        <v>Unit</v>
      </c>
      <c r="F25" s="453">
        <f>F20*1</f>
        <v>4</v>
      </c>
      <c r="G25" s="307">
        <f ca="1">IF(ISERROR(OFFSET('HARGA SATUAN'!$I$6,MATCH(RAB!C25,'HARGA SATUAN'!$C$7:$C$1495,0),0)),0,OFFSET('HARGA SATUAN'!$I$6,MATCH(RAB!C25,'HARGA SATUAN'!$C$7:$C$1495,0),0))</f>
        <v>35700</v>
      </c>
      <c r="H25" s="308">
        <f t="shared" ca="1" si="9"/>
        <v>0</v>
      </c>
      <c r="I25" s="308">
        <f t="shared" ca="1" si="10"/>
        <v>0</v>
      </c>
      <c r="J25" s="308">
        <f t="shared" ca="1" si="11"/>
        <v>142800</v>
      </c>
      <c r="K25" s="309">
        <f t="shared" ca="1" si="12"/>
        <v>142800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62"/>
      <c r="C26" s="463"/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/>
      </c>
      <c r="F26" s="453"/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9"/>
        <v>0</v>
      </c>
      <c r="I26" s="308">
        <f t="shared" ca="1" si="10"/>
        <v>0</v>
      </c>
      <c r="J26" s="308">
        <f t="shared" ca="1" si="11"/>
        <v>0</v>
      </c>
      <c r="K26" s="309">
        <f t="shared" ca="1" si="12"/>
        <v>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19" t="s">
        <v>1035</v>
      </c>
      <c r="C27" s="720" t="s">
        <v>1629</v>
      </c>
      <c r="D27" s="305" t="str">
        <f ca="1">IF(ISERROR(OFFSET('HARGA SATUAN'!$D$6,MATCH(RAB!C27,'HARGA SATUAN'!$C$7:$C$1495,0),0)),"",OFFSET('HARGA SATUAN'!$D$6,MATCH(RAB!C27,'HARGA SATUAN'!$C$7:$C$1495,0),0))</f>
        <v/>
      </c>
      <c r="E27" s="306" t="str">
        <f ca="1">IF(B27="+","Unit",IF(ISERROR(OFFSET('HARGA SATUAN'!$E$6,MATCH(RAB!C27,'HARGA SATUAN'!$C$7:$C$1495,0),0)),"",OFFSET('HARGA SATUAN'!$E$6,MATCH(RAB!C27,'HARGA SATUAN'!$C$7:$C$1495,0),0)))</f>
        <v>Unit</v>
      </c>
      <c r="F27" s="453">
        <v>11</v>
      </c>
      <c r="G27" s="307">
        <f ca="1">IF(ISERROR(OFFSET('HARGA SATUAN'!$I$6,MATCH(RAB!C27,'HARGA SATUAN'!$C$7:$C$1495,0),0)),0,OFFSET('HARGA SATUAN'!$I$6,MATCH(RAB!C27,'HARGA SATUAN'!$C$7:$C$1495,0),0))</f>
        <v>0</v>
      </c>
      <c r="H27" s="308">
        <f t="shared" ca="1" si="9"/>
        <v>0</v>
      </c>
      <c r="I27" s="308">
        <f t="shared" ca="1" si="10"/>
        <v>0</v>
      </c>
      <c r="J27" s="308">
        <f t="shared" ca="1" si="11"/>
        <v>0</v>
      </c>
      <c r="K27" s="309">
        <f t="shared" ca="1" si="12"/>
        <v>0</v>
      </c>
      <c r="L27" s="316"/>
      <c r="M27" s="289" t="str">
        <f t="shared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19">
        <v>1</v>
      </c>
      <c r="C28" s="720" t="s">
        <v>229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3">
        <f>F27*1</f>
        <v>11</v>
      </c>
      <c r="G28" s="307">
        <f ca="1">IF(ISERROR(OFFSET('HARGA SATUAN'!$I$6,MATCH(RAB!C28,'HARGA SATUAN'!$C$7:$C$1495,0),0)),0,OFFSET('HARGA SATUAN'!$I$6,MATCH(RAB!C28,'HARGA SATUAN'!$C$7:$C$1495,0),0))</f>
        <v>4212</v>
      </c>
      <c r="H28" s="308">
        <f t="shared" ca="1" si="9"/>
        <v>0</v>
      </c>
      <c r="I28" s="308">
        <f t="shared" ca="1" si="10"/>
        <v>46332</v>
      </c>
      <c r="J28" s="308">
        <f t="shared" ca="1" si="11"/>
        <v>0</v>
      </c>
      <c r="K28" s="309">
        <f t="shared" ca="1" si="12"/>
        <v>46332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19">
        <v>2</v>
      </c>
      <c r="C29" s="720" t="s">
        <v>266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Mtr</v>
      </c>
      <c r="F29" s="453">
        <f>F27*1</f>
        <v>11</v>
      </c>
      <c r="G29" s="307">
        <f ca="1">IF(ISERROR(OFFSET('HARGA SATUAN'!$I$6,MATCH(RAB!C29,'HARGA SATUAN'!$C$7:$C$1495,0),0)),0,OFFSET('HARGA SATUAN'!$I$6,MATCH(RAB!C29,'HARGA SATUAN'!$C$7:$C$1495,0),0))</f>
        <v>23310</v>
      </c>
      <c r="H29" s="308">
        <f t="shared" ca="1" si="9"/>
        <v>0</v>
      </c>
      <c r="I29" s="308">
        <f t="shared" ca="1" si="10"/>
        <v>256410</v>
      </c>
      <c r="J29" s="308">
        <f t="shared" ca="1" si="11"/>
        <v>0</v>
      </c>
      <c r="K29" s="309">
        <f t="shared" ca="1" si="12"/>
        <v>256410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19">
        <v>3</v>
      </c>
      <c r="C30" s="720" t="s">
        <v>35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3">
        <f>F27*1</f>
        <v>11</v>
      </c>
      <c r="G30" s="307">
        <f ca="1">IF(ISERROR(OFFSET('HARGA SATUAN'!$I$6,MATCH(RAB!C30,'HARGA SATUAN'!$C$7:$C$1495,0),0)),0,OFFSET('HARGA SATUAN'!$I$6,MATCH(RAB!C30,'HARGA SATUAN'!$C$7:$C$1495,0),0))</f>
        <v>2300</v>
      </c>
      <c r="H30" s="308">
        <f t="shared" ca="1" si="9"/>
        <v>0</v>
      </c>
      <c r="I30" s="308">
        <f t="shared" ca="1" si="10"/>
        <v>25300</v>
      </c>
      <c r="J30" s="308">
        <f t="shared" ca="1" si="11"/>
        <v>0</v>
      </c>
      <c r="K30" s="309">
        <f t="shared" ca="1" si="12"/>
        <v>25300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19">
        <v>4</v>
      </c>
      <c r="C31" s="720" t="s">
        <v>609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3">
        <f>F27*1</f>
        <v>11</v>
      </c>
      <c r="G31" s="307">
        <f ca="1">IF(ISERROR(OFFSET('HARGA SATUAN'!$I$6,MATCH(RAB!C31,'HARGA SATUAN'!$C$7:$C$1495,0),0)),0,OFFSET('HARGA SATUAN'!$I$6,MATCH(RAB!C31,'HARGA SATUAN'!$C$7:$C$1495,0),0))</f>
        <v>71000</v>
      </c>
      <c r="H31" s="308">
        <f t="shared" ca="1" si="9"/>
        <v>0</v>
      </c>
      <c r="I31" s="308">
        <f t="shared" ca="1" si="10"/>
        <v>781000</v>
      </c>
      <c r="J31" s="308">
        <f t="shared" ca="1" si="11"/>
        <v>0</v>
      </c>
      <c r="K31" s="309">
        <f t="shared" ca="1" si="12"/>
        <v>781000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19">
        <v>5</v>
      </c>
      <c r="C32" s="720" t="s">
        <v>629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3">
        <f>F27*1</f>
        <v>11</v>
      </c>
      <c r="G32" s="307">
        <f ca="1">IF(ISERROR(OFFSET('HARGA SATUAN'!$I$6,MATCH(RAB!C32,'HARGA SATUAN'!$C$7:$C$1495,0),0)),0,OFFSET('HARGA SATUAN'!$I$6,MATCH(RAB!C32,'HARGA SATUAN'!$C$7:$C$1495,0),0))</f>
        <v>29400</v>
      </c>
      <c r="H32" s="308">
        <f t="shared" ca="1" si="9"/>
        <v>0</v>
      </c>
      <c r="I32" s="308">
        <f t="shared" ca="1" si="10"/>
        <v>0</v>
      </c>
      <c r="J32" s="308">
        <f t="shared" ca="1" si="11"/>
        <v>323400</v>
      </c>
      <c r="K32" s="309">
        <f t="shared" ca="1" si="12"/>
        <v>323400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62"/>
      <c r="C33" s="463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3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9"/>
        <v>0</v>
      </c>
      <c r="I33" s="308">
        <f t="shared" ca="1" si="10"/>
        <v>0</v>
      </c>
      <c r="J33" s="308">
        <f t="shared" ca="1" si="11"/>
        <v>0</v>
      </c>
      <c r="K33" s="309">
        <f t="shared" ca="1" si="12"/>
        <v>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19" t="s">
        <v>1035</v>
      </c>
      <c r="C34" s="720" t="s">
        <v>1631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3">
        <v>4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9"/>
        <v>0</v>
      </c>
      <c r="I34" s="308">
        <f t="shared" ca="1" si="10"/>
        <v>0</v>
      </c>
      <c r="J34" s="308">
        <f t="shared" ca="1" si="11"/>
        <v>0</v>
      </c>
      <c r="K34" s="309">
        <f t="shared" ca="1" si="12"/>
        <v>0</v>
      </c>
      <c r="L34" s="316"/>
      <c r="M34" s="289" t="str">
        <f t="shared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19">
        <v>1</v>
      </c>
      <c r="C35" s="720" t="s">
        <v>30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3">
        <f>F34*1</f>
        <v>4</v>
      </c>
      <c r="G35" s="307">
        <f ca="1">IF(ISERROR(OFFSET('HARGA SATUAN'!$I$6,MATCH(RAB!C35,'HARGA SATUAN'!$C$7:$C$1495,0),0)),0,OFFSET('HARGA SATUAN'!$I$6,MATCH(RAB!C35,'HARGA SATUAN'!$C$7:$C$1495,0),0))</f>
        <v>47459</v>
      </c>
      <c r="H35" s="308">
        <f t="shared" ca="1" si="9"/>
        <v>0</v>
      </c>
      <c r="I35" s="308">
        <f t="shared" ca="1" si="10"/>
        <v>189836</v>
      </c>
      <c r="J35" s="308">
        <f t="shared" ca="1" si="11"/>
        <v>0</v>
      </c>
      <c r="K35" s="309">
        <f t="shared" ca="1" si="12"/>
        <v>189836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19">
        <v>2</v>
      </c>
      <c r="C36" s="720" t="s">
        <v>32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Mtr</v>
      </c>
      <c r="F36" s="453">
        <f>F34*0.8</f>
        <v>3.2</v>
      </c>
      <c r="G36" s="307">
        <f ca="1">IF(ISERROR(OFFSET('HARGA SATUAN'!$I$6,MATCH(RAB!C36,'HARGA SATUAN'!$C$7:$C$1495,0),0)),0,OFFSET('HARGA SATUAN'!$I$6,MATCH(RAB!C36,'HARGA SATUAN'!$C$7:$C$1495,0),0))</f>
        <v>30000</v>
      </c>
      <c r="H36" s="308">
        <f t="shared" ca="1" si="9"/>
        <v>0</v>
      </c>
      <c r="I36" s="308">
        <f t="shared" ca="1" si="10"/>
        <v>96000</v>
      </c>
      <c r="J36" s="308">
        <f t="shared" ca="1" si="11"/>
        <v>0</v>
      </c>
      <c r="K36" s="309">
        <f t="shared" ca="1" si="12"/>
        <v>96000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19">
        <v>3</v>
      </c>
      <c r="C37" s="720" t="s">
        <v>33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3">
        <f>F34*1</f>
        <v>4</v>
      </c>
      <c r="G37" s="307">
        <f ca="1">IF(ISERROR(OFFSET('HARGA SATUAN'!$I$6,MATCH(RAB!C37,'HARGA SATUAN'!$C$7:$C$1495,0),0)),0,OFFSET('HARGA SATUAN'!$I$6,MATCH(RAB!C37,'HARGA SATUAN'!$C$7:$C$1495,0),0))</f>
        <v>9500</v>
      </c>
      <c r="H37" s="308">
        <f t="shared" ca="1" si="9"/>
        <v>0</v>
      </c>
      <c r="I37" s="308">
        <f t="shared" ca="1" si="10"/>
        <v>38000</v>
      </c>
      <c r="J37" s="308">
        <f t="shared" ca="1" si="11"/>
        <v>0</v>
      </c>
      <c r="K37" s="309">
        <f t="shared" ca="1" si="12"/>
        <v>38000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19">
        <v>4</v>
      </c>
      <c r="C38" s="720" t="s">
        <v>737</v>
      </c>
      <c r="D38" s="305" t="str">
        <f ca="1">IF(ISERROR(OFFSET('HARGA SATUAN'!$D$6,MATCH(RAB!C38,'HARGA SATUAN'!$C$7:$C$1495,0),0)),"",OFFSET('HARGA SATUAN'!$D$6,MATCH(RAB!C38,'HARGA SATUAN'!$C$7:$C$1495,0),0))</f>
        <v>JASA</v>
      </c>
      <c r="E38" s="306" t="str">
        <f ca="1">IF(B38="+","Unit",IF(ISERROR(OFFSET('HARGA SATUAN'!$E$6,MATCH(RAB!C38,'HARGA SATUAN'!$C$7:$C$1495,0),0)),"",OFFSET('HARGA SATUAN'!$E$6,MATCH(RAB!C38,'HARGA SATUAN'!$C$7:$C$1495,0),0)))</f>
        <v>Unit</v>
      </c>
      <c r="F38" s="453">
        <f>F34*1</f>
        <v>4</v>
      </c>
      <c r="G38" s="307">
        <f ca="1">IF(ISERROR(OFFSET('HARGA SATUAN'!$I$6,MATCH(RAB!C38,'HARGA SATUAN'!$C$7:$C$1495,0),0)),0,OFFSET('HARGA SATUAN'!$I$6,MATCH(RAB!C38,'HARGA SATUAN'!$C$7:$C$1495,0),0))</f>
        <v>16200</v>
      </c>
      <c r="H38" s="308">
        <f t="shared" ca="1" si="9"/>
        <v>0</v>
      </c>
      <c r="I38" s="308">
        <f t="shared" ca="1" si="10"/>
        <v>0</v>
      </c>
      <c r="J38" s="308">
        <f t="shared" ca="1" si="11"/>
        <v>64800</v>
      </c>
      <c r="K38" s="309">
        <f t="shared" ca="1" si="12"/>
        <v>64800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62"/>
      <c r="C39" s="463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3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9"/>
        <v>0</v>
      </c>
      <c r="I39" s="308">
        <f t="shared" ca="1" si="10"/>
        <v>0</v>
      </c>
      <c r="J39" s="308">
        <f t="shared" ca="1" si="11"/>
        <v>0</v>
      </c>
      <c r="K39" s="309">
        <f t="shared" ca="1" si="12"/>
        <v>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2" t="s">
        <v>1035</v>
      </c>
      <c r="C40" s="721" t="s">
        <v>1632</v>
      </c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3">
        <v>1</v>
      </c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ref="H40:H57" ca="1" si="14">IF(OR(D40="MDU",D40="MDU-KD"),(IF($O$3="RAB NON MDU","PLN KD",G40*F40)),0)</f>
        <v>0</v>
      </c>
      <c r="I40" s="308">
        <f t="shared" ref="I40:I57" ca="1" si="15">IF(D40="HDW",G40*F40,0)</f>
        <v>0</v>
      </c>
      <c r="J40" s="308">
        <f t="shared" ref="J40:J57" ca="1" si="16">IF(D40="JASA",G40*F40,0)</f>
        <v>0</v>
      </c>
      <c r="K40" s="309">
        <f t="shared" ref="K40:K57" ca="1" si="17">SUM(H40:J40)</f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19">
        <v>1</v>
      </c>
      <c r="C41" s="720" t="s">
        <v>28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3">
        <f>F40*1</f>
        <v>1</v>
      </c>
      <c r="G41" s="307">
        <f ca="1">IF(ISERROR(OFFSET('HARGA SATUAN'!$I$6,MATCH(RAB!C41,'HARGA SATUAN'!$C$7:$C$1495,0),0)),0,OFFSET('HARGA SATUAN'!$I$6,MATCH(RAB!C41,'HARGA SATUAN'!$C$7:$C$1495,0),0))</f>
        <v>26500</v>
      </c>
      <c r="H41" s="308">
        <f t="shared" ca="1" si="14"/>
        <v>0</v>
      </c>
      <c r="I41" s="308">
        <f t="shared" ca="1" si="15"/>
        <v>26500</v>
      </c>
      <c r="J41" s="308">
        <f t="shared" ca="1" si="16"/>
        <v>0</v>
      </c>
      <c r="K41" s="309">
        <f t="shared" ca="1" si="17"/>
        <v>26500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19">
        <v>2</v>
      </c>
      <c r="C42" s="720" t="s">
        <v>203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3">
        <f>F40*1</f>
        <v>1</v>
      </c>
      <c r="G42" s="307">
        <f ca="1">IF(ISERROR(OFFSET('HARGA SATUAN'!$I$6,MATCH(RAB!C42,'HARGA SATUAN'!$C$7:$C$1495,0),0)),0,OFFSET('HARGA SATUAN'!$I$6,MATCH(RAB!C42,'HARGA SATUAN'!$C$7:$C$1495,0),0))</f>
        <v>12500</v>
      </c>
      <c r="H42" s="308">
        <f t="shared" ca="1" si="14"/>
        <v>0</v>
      </c>
      <c r="I42" s="308">
        <f t="shared" ca="1" si="15"/>
        <v>12500</v>
      </c>
      <c r="J42" s="308">
        <f t="shared" ca="1" si="16"/>
        <v>0</v>
      </c>
      <c r="K42" s="309">
        <f t="shared" ca="1" si="17"/>
        <v>12500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19">
        <v>3</v>
      </c>
      <c r="C43" s="720" t="s">
        <v>205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53">
        <f>F40*12</f>
        <v>12</v>
      </c>
      <c r="G43" s="307">
        <f ca="1">IF(ISERROR(OFFSET('HARGA SATUAN'!$I$6,MATCH(RAB!C43,'HARGA SATUAN'!$C$7:$C$1495,0),0)),0,OFFSET('HARGA SATUAN'!$I$6,MATCH(RAB!C43,'HARGA SATUAN'!$C$7:$C$1495,0),0))</f>
        <v>24300</v>
      </c>
      <c r="H43" s="308">
        <f t="shared" ca="1" si="14"/>
        <v>0</v>
      </c>
      <c r="I43" s="308">
        <f t="shared" ca="1" si="15"/>
        <v>291600</v>
      </c>
      <c r="J43" s="308">
        <f t="shared" ca="1" si="16"/>
        <v>0</v>
      </c>
      <c r="K43" s="309">
        <f t="shared" ca="1" si="17"/>
        <v>291600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19">
        <v>4</v>
      </c>
      <c r="C44" s="720" t="s">
        <v>287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3">
        <f>F40*2</f>
        <v>2</v>
      </c>
      <c r="G44" s="307">
        <f ca="1">IF(ISERROR(OFFSET('HARGA SATUAN'!$I$6,MATCH(RAB!C44,'HARGA SATUAN'!$C$7:$C$1495,0),0)),0,OFFSET('HARGA SATUAN'!$I$6,MATCH(RAB!C44,'HARGA SATUAN'!$C$7:$C$1495,0),0))</f>
        <v>40000</v>
      </c>
      <c r="H44" s="308">
        <f t="shared" ca="1" si="14"/>
        <v>0</v>
      </c>
      <c r="I44" s="308">
        <f t="shared" ca="1" si="15"/>
        <v>80000</v>
      </c>
      <c r="J44" s="308">
        <f t="shared" ca="1" si="16"/>
        <v>0</v>
      </c>
      <c r="K44" s="309">
        <f t="shared" ca="1" si="17"/>
        <v>80000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19">
        <v>5</v>
      </c>
      <c r="C45" s="720" t="s">
        <v>26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3">
        <f>F40*1</f>
        <v>1</v>
      </c>
      <c r="G45" s="307">
        <f ca="1">IF(ISERROR(OFFSET('HARGA SATUAN'!$I$6,MATCH(RAB!C45,'HARGA SATUAN'!$C$7:$C$1495,0),0)),0,OFFSET('HARGA SATUAN'!$I$6,MATCH(RAB!C45,'HARGA SATUAN'!$C$7:$C$1495,0),0))</f>
        <v>2500</v>
      </c>
      <c r="H45" s="308">
        <f t="shared" ca="1" si="14"/>
        <v>0</v>
      </c>
      <c r="I45" s="308">
        <f t="shared" ca="1" si="15"/>
        <v>2500</v>
      </c>
      <c r="J45" s="308">
        <f t="shared" ca="1" si="16"/>
        <v>0</v>
      </c>
      <c r="K45" s="309">
        <f t="shared" ca="1" si="17"/>
        <v>2500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19">
        <v>6</v>
      </c>
      <c r="C46" s="720" t="s">
        <v>759</v>
      </c>
      <c r="D46" s="305" t="str">
        <f ca="1">IF(ISERROR(OFFSET('HARGA SATUAN'!$D$6,MATCH(RAB!C46,'HARGA SATUAN'!$C$7:$C$1495,0),0)),"",OFFSET('HARGA SATUAN'!$D$6,MATCH(RAB!C46,'HARGA SATUAN'!$C$7:$C$1495,0),0))</f>
        <v>JASA</v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53">
        <f>F40*1</f>
        <v>1</v>
      </c>
      <c r="G46" s="307">
        <f ca="1">IF(ISERROR(OFFSET('HARGA SATUAN'!$I$6,MATCH(RAB!C46,'HARGA SATUAN'!$C$7:$C$1495,0),0)),0,OFFSET('HARGA SATUAN'!$I$6,MATCH(RAB!C46,'HARGA SATUAN'!$C$7:$C$1495,0),0))</f>
        <v>43500</v>
      </c>
      <c r="H46" s="308">
        <f t="shared" ca="1" si="14"/>
        <v>0</v>
      </c>
      <c r="I46" s="308">
        <f t="shared" ca="1" si="15"/>
        <v>0</v>
      </c>
      <c r="J46" s="308">
        <f t="shared" ca="1" si="16"/>
        <v>43500</v>
      </c>
      <c r="K46" s="309">
        <f t="shared" ca="1" si="17"/>
        <v>43500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19"/>
      <c r="C47" s="720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3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4"/>
        <v>0</v>
      </c>
      <c r="I47" s="308">
        <f t="shared" ca="1" si="15"/>
        <v>0</v>
      </c>
      <c r="J47" s="308">
        <f t="shared" ca="1" si="16"/>
        <v>0</v>
      </c>
      <c r="K47" s="309">
        <f t="shared" ca="1" si="17"/>
        <v>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19" t="s">
        <v>1035</v>
      </c>
      <c r="C48" s="720" t="s">
        <v>1633</v>
      </c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>Unit</v>
      </c>
      <c r="F48" s="722">
        <v>1</v>
      </c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4"/>
        <v>0</v>
      </c>
      <c r="I48" s="308">
        <f t="shared" ca="1" si="15"/>
        <v>0</v>
      </c>
      <c r="J48" s="308">
        <f t="shared" ca="1" si="16"/>
        <v>0</v>
      </c>
      <c r="K48" s="309">
        <f t="shared" ca="1" si="17"/>
        <v>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19">
        <v>1</v>
      </c>
      <c r="C49" s="720" t="s">
        <v>262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722">
        <f>F48*1</f>
        <v>1</v>
      </c>
      <c r="G49" s="307">
        <f ca="1">IF(ISERROR(OFFSET('HARGA SATUAN'!$I$6,MATCH(RAB!C49,'HARGA SATUAN'!$C$7:$C$1495,0),0)),0,OFFSET('HARGA SATUAN'!$I$6,MATCH(RAB!C49,'HARGA SATUAN'!$C$7:$C$1495,0),0))</f>
        <v>104200</v>
      </c>
      <c r="H49" s="308">
        <f t="shared" ca="1" si="14"/>
        <v>0</v>
      </c>
      <c r="I49" s="308">
        <f t="shared" ca="1" si="15"/>
        <v>104200</v>
      </c>
      <c r="J49" s="308">
        <f t="shared" ca="1" si="16"/>
        <v>0</v>
      </c>
      <c r="K49" s="309">
        <f t="shared" ca="1" si="17"/>
        <v>104200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19">
        <v>2</v>
      </c>
      <c r="C50" s="720" t="s">
        <v>596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722">
        <f>F48*1</f>
        <v>1</v>
      </c>
      <c r="G50" s="307">
        <f ca="1">IF(ISERROR(OFFSET('HARGA SATUAN'!$I$6,MATCH(RAB!C50,'HARGA SATUAN'!$C$7:$C$1495,0),0)),0,OFFSET('HARGA SATUAN'!$I$6,MATCH(RAB!C50,'HARGA SATUAN'!$C$7:$C$1495,0),0))</f>
        <v>120000</v>
      </c>
      <c r="H50" s="308">
        <f t="shared" ca="1" si="14"/>
        <v>0</v>
      </c>
      <c r="I50" s="308">
        <f t="shared" ca="1" si="15"/>
        <v>120000</v>
      </c>
      <c r="J50" s="308">
        <f t="shared" ca="1" si="16"/>
        <v>0</v>
      </c>
      <c r="K50" s="309">
        <f t="shared" ca="1" si="17"/>
        <v>120000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19">
        <v>4</v>
      </c>
      <c r="C51" s="720" t="s">
        <v>214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53">
        <f>F48*1</f>
        <v>1</v>
      </c>
      <c r="G51" s="307">
        <f ca="1">IF(ISERROR(OFFSET('HARGA SATUAN'!$I$6,MATCH(RAB!C51,'HARGA SATUAN'!$C$7:$C$1495,0),0)),0,OFFSET('HARGA SATUAN'!$I$6,MATCH(RAB!C51,'HARGA SATUAN'!$C$7:$C$1495,0),0))</f>
        <v>4500</v>
      </c>
      <c r="H51" s="308">
        <f t="shared" ca="1" si="14"/>
        <v>0</v>
      </c>
      <c r="I51" s="308">
        <f t="shared" ca="1" si="15"/>
        <v>4500</v>
      </c>
      <c r="J51" s="308">
        <f t="shared" ca="1" si="16"/>
        <v>0</v>
      </c>
      <c r="K51" s="309">
        <f t="shared" ca="1" si="17"/>
        <v>4500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19">
        <v>3</v>
      </c>
      <c r="C52" s="720" t="s">
        <v>767</v>
      </c>
      <c r="D52" s="305" t="str">
        <f ca="1">IF(ISERROR(OFFSET('HARGA SATUAN'!$D$6,MATCH(RAB!C52,'HARGA SATUAN'!$C$7:$C$1495,0),0)),"",OFFSET('HARGA SATUAN'!$D$6,MATCH(RAB!C52,'HARGA SATUAN'!$C$7:$C$1495,0),0))</f>
        <v>JASA</v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722">
        <f>F48*1</f>
        <v>1</v>
      </c>
      <c r="G52" s="307">
        <f ca="1">IF(ISERROR(OFFSET('HARGA SATUAN'!$I$6,MATCH(RAB!C52,'HARGA SATUAN'!$C$7:$C$1495,0),0)),0,OFFSET('HARGA SATUAN'!$I$6,MATCH(RAB!C52,'HARGA SATUAN'!$C$7:$C$1495,0),0))</f>
        <v>55500</v>
      </c>
      <c r="H52" s="308">
        <f t="shared" ca="1" si="14"/>
        <v>0</v>
      </c>
      <c r="I52" s="308">
        <f t="shared" ca="1" si="15"/>
        <v>0</v>
      </c>
      <c r="J52" s="308">
        <f t="shared" ca="1" si="16"/>
        <v>55500</v>
      </c>
      <c r="K52" s="309">
        <f t="shared" ca="1" si="17"/>
        <v>55500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19"/>
      <c r="C53" s="72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3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4"/>
        <v>0</v>
      </c>
      <c r="I53" s="308">
        <f t="shared" ca="1" si="15"/>
        <v>0</v>
      </c>
      <c r="J53" s="308">
        <f t="shared" ca="1" si="16"/>
        <v>0</v>
      </c>
      <c r="K53" s="309">
        <f t="shared" ca="1" si="17"/>
        <v>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19" t="s">
        <v>1035</v>
      </c>
      <c r="C54" s="720" t="s">
        <v>1634</v>
      </c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>Unit</v>
      </c>
      <c r="F54" s="453">
        <v>1</v>
      </c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4"/>
        <v>0</v>
      </c>
      <c r="I54" s="308">
        <f t="shared" ca="1" si="15"/>
        <v>0</v>
      </c>
      <c r="J54" s="308">
        <f t="shared" ca="1" si="16"/>
        <v>0</v>
      </c>
      <c r="K54" s="309">
        <f t="shared" ca="1" si="17"/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19">
        <v>1</v>
      </c>
      <c r="C55" s="720" t="s">
        <v>30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53">
        <f>F54*1</f>
        <v>1</v>
      </c>
      <c r="G55" s="307">
        <f ca="1">IF(ISERROR(OFFSET('HARGA SATUAN'!$I$6,MATCH(RAB!C55,'HARGA SATUAN'!$C$7:$C$1495,0),0)),0,OFFSET('HARGA SATUAN'!$I$6,MATCH(RAB!C55,'HARGA SATUAN'!$C$7:$C$1495,0),0))</f>
        <v>47459</v>
      </c>
      <c r="H55" s="308">
        <f t="shared" ca="1" si="14"/>
        <v>0</v>
      </c>
      <c r="I55" s="308">
        <f t="shared" ca="1" si="15"/>
        <v>47459</v>
      </c>
      <c r="J55" s="308">
        <f t="shared" ca="1" si="16"/>
        <v>0</v>
      </c>
      <c r="K55" s="309">
        <f t="shared" ca="1" si="17"/>
        <v>47459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19">
        <v>2</v>
      </c>
      <c r="C56" s="720" t="s">
        <v>32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Mtr</v>
      </c>
      <c r="F56" s="453">
        <f>F54*1</f>
        <v>1</v>
      </c>
      <c r="G56" s="307">
        <f ca="1">IF(ISERROR(OFFSET('HARGA SATUAN'!$I$6,MATCH(RAB!C56,'HARGA SATUAN'!$C$7:$C$1495,0),0)),0,OFFSET('HARGA SATUAN'!$I$6,MATCH(RAB!C56,'HARGA SATUAN'!$C$7:$C$1495,0),0))</f>
        <v>30000</v>
      </c>
      <c r="H56" s="308">
        <f t="shared" ca="1" si="14"/>
        <v>0</v>
      </c>
      <c r="I56" s="308">
        <f t="shared" ca="1" si="15"/>
        <v>30000</v>
      </c>
      <c r="J56" s="308">
        <f t="shared" ca="1" si="16"/>
        <v>0</v>
      </c>
      <c r="K56" s="309">
        <f t="shared" ca="1" si="17"/>
        <v>30000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19">
        <v>3</v>
      </c>
      <c r="C57" s="720" t="s">
        <v>33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3">
        <f>F54*1</f>
        <v>1</v>
      </c>
      <c r="G57" s="307">
        <f ca="1">IF(ISERROR(OFFSET('HARGA SATUAN'!$I$6,MATCH(RAB!C57,'HARGA SATUAN'!$C$7:$C$1495,0),0)),0,OFFSET('HARGA SATUAN'!$I$6,MATCH(RAB!C57,'HARGA SATUAN'!$C$7:$C$1495,0),0))</f>
        <v>9500</v>
      </c>
      <c r="H57" s="308">
        <f t="shared" ca="1" si="14"/>
        <v>0</v>
      </c>
      <c r="I57" s="308">
        <f t="shared" ca="1" si="15"/>
        <v>9500</v>
      </c>
      <c r="J57" s="308">
        <f t="shared" ca="1" si="16"/>
        <v>0</v>
      </c>
      <c r="K57" s="309">
        <f t="shared" ca="1" si="17"/>
        <v>9500</v>
      </c>
      <c r="L57" s="316"/>
      <c r="M57" s="289" t="e">
        <f>IF(AND(F57&gt;0,#REF!=0),"",IF(AND(ISBLANK(F57)=FALSE,K57=0),"WARNING",""))</f>
        <v>#REF!</v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19">
        <v>4</v>
      </c>
      <c r="C58" s="720" t="s">
        <v>738</v>
      </c>
      <c r="D58" s="305" t="str">
        <f ca="1">IF(ISERROR(OFFSET('HARGA SATUAN'!$D$6,MATCH(RAB!C58,'HARGA SATUAN'!$C$7:$C$1495,0),0)),"",OFFSET('HARGA SATUAN'!$D$6,MATCH(RAB!C58,'HARGA SATUAN'!$C$7:$C$1495,0),0))</f>
        <v>JASA</v>
      </c>
      <c r="E58" s="306" t="str">
        <f ca="1">IF(B58="+","Unit",IF(ISERROR(OFFSET('HARGA SATUAN'!$E$6,MATCH(RAB!C58,'HARGA SATUAN'!$C$7:$C$1495,0),0)),"",OFFSET('HARGA SATUAN'!$E$6,MATCH(RAB!C58,'HARGA SATUAN'!$C$7:$C$1495,0),0)))</f>
        <v>Unit</v>
      </c>
      <c r="F58" s="453">
        <f>F54*1</f>
        <v>1</v>
      </c>
      <c r="G58" s="307">
        <f ca="1">IF(ISERROR(OFFSET('HARGA SATUAN'!$I$6,MATCH(RAB!C58,'HARGA SATUAN'!$C$7:$C$1495,0),0)),0,OFFSET('HARGA SATUAN'!$I$6,MATCH(RAB!C58,'HARGA SATUAN'!$C$7:$C$1495,0),0))</f>
        <v>21200</v>
      </c>
      <c r="H58" s="308">
        <f t="shared" ref="H58:H79" ca="1" si="18">IF(OR(D58="MDU",D58="MDU-KD"),(IF($O$3="RAB NON MDU","PLN KD",G58*F58)),0)</f>
        <v>0</v>
      </c>
      <c r="I58" s="308">
        <f t="shared" ref="I58:I79" ca="1" si="19">IF(D58="HDW",G58*F58,0)</f>
        <v>0</v>
      </c>
      <c r="J58" s="308">
        <f t="shared" ref="J58:J79" ca="1" si="20">IF(D58="JASA",G58*F58,0)</f>
        <v>21200</v>
      </c>
      <c r="K58" s="309">
        <f t="shared" ref="K58:K79" ca="1" si="21">SUM(H58:J58)</f>
        <v>21200</v>
      </c>
      <c r="L58" s="316"/>
      <c r="M58" s="289" t="e">
        <f>IF(AND(F58&gt;0,#REF!=0),"",IF(AND(ISBLANK(F58)=FALSE,K58=0),"WARNING",""))</f>
        <v>#REF!</v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21">
        <v>10</v>
      </c>
      <c r="C59" s="418" t="s">
        <v>1615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55"/>
      <c r="G59" s="307">
        <f ca="1">IF(ISERROR(OFFSET('HARGA SATUAN'!$I$6,MATCH(RAB!C59,'HARGA SATUAN'!$C$7:$C$1495,0),0)),0,OFFSET('HARGA SATUAN'!$I$6,MATCH(RAB!C59,'HARGA SATUAN'!$C$7:$C$1495,0),0))</f>
        <v>49000</v>
      </c>
      <c r="H59" s="308">
        <f t="shared" ca="1" si="18"/>
        <v>0</v>
      </c>
      <c r="I59" s="308">
        <f t="shared" ca="1" si="19"/>
        <v>0</v>
      </c>
      <c r="J59" s="308">
        <f t="shared" ca="1" si="20"/>
        <v>0</v>
      </c>
      <c r="K59" s="309">
        <f t="shared" ca="1" si="21"/>
        <v>0</v>
      </c>
      <c r="L59" s="316"/>
      <c r="M59" s="289" t="str">
        <f t="shared" ref="M59:M98" ca="1" si="22">IF(AND(F59&gt;0,F58=0),"",IF(AND(ISBLANK(F59)=FALSE,K59=0),"WARNING",""))</f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5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8"/>
        <v>0</v>
      </c>
      <c r="I60" s="308">
        <f t="shared" ca="1" si="19"/>
        <v>0</v>
      </c>
      <c r="J60" s="308">
        <f t="shared" ca="1" si="20"/>
        <v>0</v>
      </c>
      <c r="K60" s="309">
        <f t="shared" ca="1" si="21"/>
        <v>0</v>
      </c>
      <c r="L60" s="316"/>
      <c r="M60" s="289" t="str">
        <f t="shared" ca="1" si="22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5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8"/>
        <v>0</v>
      </c>
      <c r="I61" s="308">
        <f t="shared" ca="1" si="19"/>
        <v>0</v>
      </c>
      <c r="J61" s="308">
        <f t="shared" ca="1" si="20"/>
        <v>0</v>
      </c>
      <c r="K61" s="309">
        <f t="shared" ca="1" si="21"/>
        <v>0</v>
      </c>
      <c r="L61" s="316"/>
      <c r="M61" s="289" t="str">
        <f t="shared" ca="1" si="22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5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8"/>
        <v>0</v>
      </c>
      <c r="I62" s="308">
        <f t="shared" ca="1" si="19"/>
        <v>0</v>
      </c>
      <c r="J62" s="308">
        <f t="shared" ca="1" si="20"/>
        <v>0</v>
      </c>
      <c r="K62" s="309">
        <f t="shared" ca="1" si="21"/>
        <v>0</v>
      </c>
      <c r="L62" s="316"/>
      <c r="M62" s="289" t="str">
        <f t="shared" ca="1" si="22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5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8"/>
        <v>0</v>
      </c>
      <c r="I63" s="308">
        <f t="shared" ca="1" si="19"/>
        <v>0</v>
      </c>
      <c r="J63" s="308">
        <f t="shared" ca="1" si="20"/>
        <v>0</v>
      </c>
      <c r="K63" s="309">
        <f t="shared" ca="1" si="21"/>
        <v>0</v>
      </c>
      <c r="L63" s="316"/>
      <c r="M63" s="289" t="str">
        <f t="shared" ca="1" si="22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5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8"/>
        <v>0</v>
      </c>
      <c r="I64" s="308">
        <f t="shared" ca="1" si="19"/>
        <v>0</v>
      </c>
      <c r="J64" s="308">
        <f t="shared" ca="1" si="20"/>
        <v>0</v>
      </c>
      <c r="K64" s="309">
        <f t="shared" ca="1" si="21"/>
        <v>0</v>
      </c>
      <c r="L64" s="316"/>
      <c r="M64" s="289" t="str">
        <f t="shared" ca="1" si="22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5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8"/>
        <v>0</v>
      </c>
      <c r="I65" s="308">
        <f t="shared" ca="1" si="19"/>
        <v>0</v>
      </c>
      <c r="J65" s="308">
        <f t="shared" ca="1" si="20"/>
        <v>0</v>
      </c>
      <c r="K65" s="309">
        <f t="shared" ca="1" si="21"/>
        <v>0</v>
      </c>
      <c r="L65" s="316"/>
      <c r="M65" s="289" t="str">
        <f t="shared" ca="1" si="22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50"/>
      <c r="C66" s="451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5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8"/>
        <v>0</v>
      </c>
      <c r="I66" s="308">
        <f t="shared" ca="1" si="19"/>
        <v>0</v>
      </c>
      <c r="J66" s="308">
        <f t="shared" ca="1" si="20"/>
        <v>0</v>
      </c>
      <c r="K66" s="309">
        <f t="shared" ca="1" si="21"/>
        <v>0</v>
      </c>
      <c r="L66" s="316"/>
      <c r="M66" s="289" t="str">
        <f t="shared" ca="1" si="22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50"/>
      <c r="C67" s="451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5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8"/>
        <v>0</v>
      </c>
      <c r="I67" s="308">
        <f t="shared" ca="1" si="19"/>
        <v>0</v>
      </c>
      <c r="J67" s="308">
        <f t="shared" ca="1" si="20"/>
        <v>0</v>
      </c>
      <c r="K67" s="309">
        <f t="shared" ca="1" si="21"/>
        <v>0</v>
      </c>
      <c r="L67" s="316"/>
      <c r="M67" s="289" t="str">
        <f t="shared" ca="1" si="22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50"/>
      <c r="C68" s="451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5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8"/>
        <v>0</v>
      </c>
      <c r="I68" s="308">
        <f t="shared" ca="1" si="19"/>
        <v>0</v>
      </c>
      <c r="J68" s="308">
        <f t="shared" ca="1" si="20"/>
        <v>0</v>
      </c>
      <c r="K68" s="309">
        <f t="shared" ca="1" si="21"/>
        <v>0</v>
      </c>
      <c r="L68" s="316"/>
      <c r="M68" s="289" t="str">
        <f t="shared" ca="1" si="22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50"/>
      <c r="C69" s="451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5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8"/>
        <v>0</v>
      </c>
      <c r="I69" s="308">
        <f t="shared" ca="1" si="19"/>
        <v>0</v>
      </c>
      <c r="J69" s="308">
        <f t="shared" ca="1" si="20"/>
        <v>0</v>
      </c>
      <c r="K69" s="309">
        <f t="shared" ca="1" si="21"/>
        <v>0</v>
      </c>
      <c r="L69" s="316"/>
      <c r="M69" s="289" t="str">
        <f t="shared" ca="1" si="22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50"/>
      <c r="C70" s="451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5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18"/>
        <v>0</v>
      </c>
      <c r="I70" s="308">
        <f t="shared" ca="1" si="19"/>
        <v>0</v>
      </c>
      <c r="J70" s="308">
        <f t="shared" ca="1" si="20"/>
        <v>0</v>
      </c>
      <c r="K70" s="309">
        <f t="shared" ca="1" si="21"/>
        <v>0</v>
      </c>
      <c r="L70" s="316"/>
      <c r="M70" s="289" t="str">
        <f t="shared" ca="1" si="22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50"/>
      <c r="C71" s="451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5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18"/>
        <v>0</v>
      </c>
      <c r="I71" s="308">
        <f t="shared" ca="1" si="19"/>
        <v>0</v>
      </c>
      <c r="J71" s="308">
        <f t="shared" ca="1" si="20"/>
        <v>0</v>
      </c>
      <c r="K71" s="309">
        <f t="shared" ca="1" si="21"/>
        <v>0</v>
      </c>
      <c r="L71" s="316"/>
      <c r="M71" s="289" t="str">
        <f t="shared" ca="1" si="22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50"/>
      <c r="C72" s="451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5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8"/>
        <v>0</v>
      </c>
      <c r="I72" s="308">
        <f t="shared" ca="1" si="19"/>
        <v>0</v>
      </c>
      <c r="J72" s="308">
        <f t="shared" ca="1" si="20"/>
        <v>0</v>
      </c>
      <c r="K72" s="309">
        <f t="shared" ca="1" si="21"/>
        <v>0</v>
      </c>
      <c r="L72" s="316"/>
      <c r="M72" s="289" t="str">
        <f t="shared" ca="1" si="22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50"/>
      <c r="C73" s="451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5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8"/>
        <v>0</v>
      </c>
      <c r="I73" s="308">
        <f t="shared" ca="1" si="19"/>
        <v>0</v>
      </c>
      <c r="J73" s="308">
        <f t="shared" ca="1" si="20"/>
        <v>0</v>
      </c>
      <c r="K73" s="309">
        <f t="shared" ca="1" si="21"/>
        <v>0</v>
      </c>
      <c r="L73" s="316"/>
      <c r="M73" s="289" t="str">
        <f t="shared" ca="1" si="22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50"/>
      <c r="C74" s="451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5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8"/>
        <v>0</v>
      </c>
      <c r="I74" s="308">
        <f t="shared" ca="1" si="19"/>
        <v>0</v>
      </c>
      <c r="J74" s="308">
        <f t="shared" ca="1" si="20"/>
        <v>0</v>
      </c>
      <c r="K74" s="309">
        <f t="shared" ca="1" si="21"/>
        <v>0</v>
      </c>
      <c r="L74" s="316"/>
      <c r="M74" s="289" t="str">
        <f t="shared" ca="1" si="22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50"/>
      <c r="C75" s="451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5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18"/>
        <v>0</v>
      </c>
      <c r="I75" s="308">
        <f t="shared" ca="1" si="19"/>
        <v>0</v>
      </c>
      <c r="J75" s="308">
        <f t="shared" ca="1" si="20"/>
        <v>0</v>
      </c>
      <c r="K75" s="309">
        <f t="shared" ca="1" si="21"/>
        <v>0</v>
      </c>
      <c r="L75" s="316"/>
      <c r="M75" s="289" t="str">
        <f t="shared" ca="1" si="22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50"/>
      <c r="C76" s="451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18"/>
        <v>0</v>
      </c>
      <c r="I76" s="308">
        <f t="shared" ca="1" si="19"/>
        <v>0</v>
      </c>
      <c r="J76" s="308">
        <f t="shared" ca="1" si="20"/>
        <v>0</v>
      </c>
      <c r="K76" s="309">
        <f t="shared" ca="1" si="21"/>
        <v>0</v>
      </c>
      <c r="L76" s="316"/>
      <c r="M76" s="289" t="str">
        <f t="shared" ca="1" si="22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50"/>
      <c r="C77" s="451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18"/>
        <v>0</v>
      </c>
      <c r="I77" s="308">
        <f t="shared" ca="1" si="19"/>
        <v>0</v>
      </c>
      <c r="J77" s="308">
        <f t="shared" ca="1" si="20"/>
        <v>0</v>
      </c>
      <c r="K77" s="309">
        <f t="shared" ca="1" si="21"/>
        <v>0</v>
      </c>
      <c r="L77" s="316"/>
      <c r="M77" s="289" t="str">
        <f t="shared" ca="1" si="22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50"/>
      <c r="C78" s="451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5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18"/>
        <v>0</v>
      </c>
      <c r="I78" s="308">
        <f t="shared" ca="1" si="19"/>
        <v>0</v>
      </c>
      <c r="J78" s="308">
        <f t="shared" ca="1" si="20"/>
        <v>0</v>
      </c>
      <c r="K78" s="309">
        <f t="shared" ca="1" si="21"/>
        <v>0</v>
      </c>
      <c r="L78" s="316"/>
      <c r="M78" s="289" t="str">
        <f t="shared" ca="1" si="22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50"/>
      <c r="C79" s="451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18"/>
        <v>0</v>
      </c>
      <c r="I79" s="308">
        <f t="shared" ca="1" si="19"/>
        <v>0</v>
      </c>
      <c r="J79" s="308">
        <f t="shared" ca="1" si="20"/>
        <v>0</v>
      </c>
      <c r="K79" s="309">
        <f t="shared" ca="1" si="21"/>
        <v>0</v>
      </c>
      <c r="L79" s="316"/>
      <c r="M79" s="289" t="str">
        <f t="shared" ca="1" si="22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419" t="s">
        <v>1602</v>
      </c>
      <c r="C80" s="422" t="s">
        <v>1604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6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ref="H80:H81" ca="1" si="23">IF(OR(D80="MDU",D80="MDU-KD"),(IF($O$3="RAB NON MDU","PLN KD",G80*F80)),0)</f>
        <v>0</v>
      </c>
      <c r="I80" s="308">
        <f t="shared" ref="I80:I81" ca="1" si="24">IF(D80="HDW",G80*F80,0)</f>
        <v>0</v>
      </c>
      <c r="J80" s="308">
        <f t="shared" ref="J80:J81" ca="1" si="25">IF(D80="JASA",G80*F80,0)</f>
        <v>0</v>
      </c>
      <c r="K80" s="309">
        <f t="shared" ref="K80:K81" ca="1" si="26">SUM(H80:J80)</f>
        <v>0</v>
      </c>
      <c r="L80" s="316"/>
      <c r="M80" s="289" t="str">
        <f t="shared" ca="1" si="22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>
        <v>1</v>
      </c>
      <c r="C81" s="109" t="s">
        <v>1457</v>
      </c>
      <c r="D81" s="305" t="str">
        <f ca="1">IF(ISERROR(OFFSET('HARGA SATUAN'!$D$6,MATCH(RAB!C81,'HARGA SATUAN'!$C$7:$C$1495,0),0)),"",OFFSET('HARGA SATUAN'!$D$6,MATCH(RAB!C81,'HARGA SATUAN'!$C$7:$C$1495,0),0))</f>
        <v>MDU-KD</v>
      </c>
      <c r="E81" s="306" t="str">
        <f ca="1">IF(B81="+","Unit",IF(ISERROR(OFFSET('HARGA SATUAN'!$E$6,MATCH(RAB!C81,'HARGA SATUAN'!$C$7:$C$1495,0),0)),"",OFFSET('HARGA SATUAN'!$E$6,MATCH(RAB!C81,'HARGA SATUAN'!$C$7:$C$1495,0),0)))</f>
        <v>Mtr</v>
      </c>
      <c r="F81" s="420">
        <v>500</v>
      </c>
      <c r="G81" s="307">
        <f ca="1">IF(ISERROR(OFFSET('HARGA SATUAN'!$I$6,MATCH(RAB!C81,'HARGA SATUAN'!$C$7:$C$1495,0),0)),0,OFFSET('HARGA SATUAN'!$I$6,MATCH(RAB!C81,'HARGA SATUAN'!$C$7:$C$1495,0),0))</f>
        <v>54500</v>
      </c>
      <c r="H81" s="308">
        <f t="shared" ca="1" si="23"/>
        <v>27250000</v>
      </c>
      <c r="I81" s="308">
        <f t="shared" ca="1" si="24"/>
        <v>0</v>
      </c>
      <c r="J81" s="308">
        <f t="shared" ca="1" si="25"/>
        <v>0</v>
      </c>
      <c r="K81" s="309">
        <f t="shared" ca="1" si="26"/>
        <v>27250000</v>
      </c>
      <c r="L81" s="316"/>
      <c r="M81" s="289" t="str">
        <f t="shared" si="22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2</v>
      </c>
      <c r="C82" s="109" t="s">
        <v>346</v>
      </c>
      <c r="D82" s="305" t="str">
        <f ca="1">IF(ISERROR(OFFSET('HARGA SATUAN'!$D$6,MATCH(RAB!C82,'HARGA SATUAN'!$C$7:$C$1495,0),0)),"",OFFSET('HARGA SATUAN'!$D$6,MATCH(RAB!C82,'HARGA SATUAN'!$C$7:$C$1495,0),0))</f>
        <v>JASA</v>
      </c>
      <c r="E82" s="306" t="str">
        <f ca="1">IF(B82="+","Unit",IF(ISERROR(OFFSET('HARGA SATUAN'!$E$6,MATCH(RAB!C82,'HARGA SATUAN'!$C$7:$C$1495,0),0)),"",OFFSET('HARGA SATUAN'!$E$6,MATCH(RAB!C82,'HARGA SATUAN'!$C$7:$C$1495,0),0)))</f>
        <v>Per 50 m</v>
      </c>
      <c r="F82" s="420">
        <v>10</v>
      </c>
      <c r="G82" s="307">
        <f ca="1">IF(ISERROR(OFFSET('HARGA SATUAN'!$I$6,MATCH(RAB!C82,'HARGA SATUAN'!$C$7:$C$1495,0),0)),0,OFFSET('HARGA SATUAN'!$I$6,MATCH(RAB!C82,'HARGA SATUAN'!$C$7:$C$1495,0),0))</f>
        <v>223500</v>
      </c>
      <c r="H82" s="308">
        <f t="shared" ref="H82" ca="1" si="27">IF(OR(D82="MDU",D82="MDU-KD"),(IF($O$3="RAB NON MDU","PLN KD",G82*F82)),0)</f>
        <v>0</v>
      </c>
      <c r="I82" s="308">
        <f t="shared" ref="I82" ca="1" si="28">IF(D82="HDW",G82*F82,0)</f>
        <v>0</v>
      </c>
      <c r="J82" s="308">
        <f t="shared" ref="J82" ca="1" si="29">IF(D82="JASA",G82*F82,0)</f>
        <v>2235000</v>
      </c>
      <c r="K82" s="309">
        <f t="shared" ref="K82" ca="1" si="30">SUM(H82:J82)</f>
        <v>2235000</v>
      </c>
      <c r="L82" s="316"/>
      <c r="M82" s="289" t="str">
        <f t="shared" ca="1" si="22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318"/>
      <c r="C83" s="319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20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ref="H83:H99" ca="1" si="31">IF(OR(D83="MDU",D83="MDU-KD"),(IF($O$3="RAB NON MDU","PLN KD",G83*F83)),0)</f>
        <v>0</v>
      </c>
      <c r="I83" s="308">
        <f t="shared" ref="I83:I99" ca="1" si="32">IF(D83="HDW",G83*F83,0)</f>
        <v>0</v>
      </c>
      <c r="J83" s="308">
        <f t="shared" ref="J83:J99" ca="1" si="33">IF(D83="JASA",G83*F83,0)</f>
        <v>0</v>
      </c>
      <c r="K83" s="309">
        <f t="shared" ref="K83:K99" ca="1" si="34">SUM(H83:J83)</f>
        <v>0</v>
      </c>
      <c r="L83" s="316"/>
      <c r="M83" s="289" t="e">
        <f>IF(AND(F83&gt;0,#REF!=0),"",IF(AND(ISBLANK(F83)=FALSE,K83=0),"WARNING",""))</f>
        <v>#REF!</v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419" t="s">
        <v>1610</v>
      </c>
      <c r="C84" s="422" t="s">
        <v>1606</v>
      </c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57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ref="H84:H98" ca="1" si="35">IF(OR(D84="MDU",D84="MDU-KD"),(IF($O$3="RAB NON MDU","PLN KD",G84*F84)),0)</f>
        <v>0</v>
      </c>
      <c r="I84" s="308">
        <f t="shared" ref="I84:I98" ca="1" si="36">IF(D84="HDW",G84*F84,0)</f>
        <v>0</v>
      </c>
      <c r="J84" s="308">
        <f t="shared" ref="J84:J98" ca="1" si="37">IF(D84="JASA",G84*F84,0)</f>
        <v>0</v>
      </c>
      <c r="K84" s="309">
        <f t="shared" ref="K84:K98" ca="1" si="38">SUM(H84:J84)</f>
        <v>0</v>
      </c>
      <c r="L84" s="316"/>
      <c r="M84" s="289" t="str">
        <f t="shared" ca="1" si="22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465" t="s">
        <v>1035</v>
      </c>
      <c r="C85" s="466" t="s">
        <v>1625</v>
      </c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464">
        <v>1</v>
      </c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35"/>
        <v>0</v>
      </c>
      <c r="I85" s="308">
        <f t="shared" ca="1" si="36"/>
        <v>0</v>
      </c>
      <c r="J85" s="308">
        <f t="shared" ca="1" si="37"/>
        <v>0</v>
      </c>
      <c r="K85" s="309">
        <f t="shared" ca="1" si="38"/>
        <v>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t="30">
      <c r="A86" s="283"/>
      <c r="B86" s="462">
        <v>1</v>
      </c>
      <c r="C86" s="109" t="s">
        <v>1196</v>
      </c>
      <c r="D86" s="305" t="str">
        <f ca="1">IF(ISERROR(OFFSET('HARGA SATUAN'!$D$6,MATCH(RAB!C86,'HARGA SATUAN'!$C$7:$C$1495,0),0)),"",OFFSET('HARGA SATUAN'!$D$6,MATCH(RAB!C86,'HARGA SATUAN'!$C$7:$C$1495,0),0))</f>
        <v>MDU-KD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464">
        <f>F85*1</f>
        <v>1</v>
      </c>
      <c r="G86" s="307">
        <f ca="1">IF(ISERROR(OFFSET('HARGA SATUAN'!$I$6,MATCH(RAB!C86,'HARGA SATUAN'!$C$7:$C$1495,0),0)),0,OFFSET('HARGA SATUAN'!$I$6,MATCH(RAB!C86,'HARGA SATUAN'!$C$7:$C$1495,0),0))</f>
        <v>1427400</v>
      </c>
      <c r="H86" s="308">
        <f t="shared" ca="1" si="35"/>
        <v>1427400</v>
      </c>
      <c r="I86" s="308">
        <f t="shared" ca="1" si="36"/>
        <v>0</v>
      </c>
      <c r="J86" s="308">
        <f t="shared" ca="1" si="37"/>
        <v>0</v>
      </c>
      <c r="K86" s="309">
        <f t="shared" ca="1" si="38"/>
        <v>1427400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462">
        <v>2</v>
      </c>
      <c r="C87" s="467" t="s">
        <v>512</v>
      </c>
      <c r="D87" s="305" t="str">
        <f ca="1">IF(ISERROR(OFFSET('HARGA SATUAN'!$D$6,MATCH(RAB!C87,'HARGA SATUAN'!$C$7:$C$1495,0),0)),"",OFFSET('HARGA SATUAN'!$D$6,MATCH(RAB!C87,'HARGA SATUAN'!$C$7:$C$1495,0),0))</f>
        <v>MDU-KD</v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464">
        <f>F85*1</f>
        <v>1</v>
      </c>
      <c r="G87" s="307">
        <f ca="1">IF(ISERROR(OFFSET('HARGA SATUAN'!$I$6,MATCH(RAB!C87,'HARGA SATUAN'!$C$7:$C$1495,0),0)),0,OFFSET('HARGA SATUAN'!$I$6,MATCH(RAB!C87,'HARGA SATUAN'!$C$7:$C$1495,0),0))</f>
        <v>3564900</v>
      </c>
      <c r="H87" s="308">
        <f t="shared" ca="1" si="35"/>
        <v>3564900</v>
      </c>
      <c r="I87" s="308">
        <f t="shared" ca="1" si="36"/>
        <v>0</v>
      </c>
      <c r="J87" s="308">
        <f t="shared" ca="1" si="37"/>
        <v>0</v>
      </c>
      <c r="K87" s="309">
        <f t="shared" ca="1" si="38"/>
        <v>3564900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462">
        <v>3</v>
      </c>
      <c r="C88" s="467" t="s">
        <v>1141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Unit</v>
      </c>
      <c r="F88" s="464">
        <f>F85*1</f>
        <v>1</v>
      </c>
      <c r="G88" s="307">
        <f ca="1">IF(ISERROR(OFFSET('HARGA SATUAN'!$I$6,MATCH(RAB!C88,'HARGA SATUAN'!$C$7:$C$1495,0),0)),0,OFFSET('HARGA SATUAN'!$I$6,MATCH(RAB!C88,'HARGA SATUAN'!$C$7:$C$1495,0),0))</f>
        <v>1113900</v>
      </c>
      <c r="H88" s="308">
        <f t="shared" ca="1" si="35"/>
        <v>0</v>
      </c>
      <c r="I88" s="308">
        <f t="shared" ca="1" si="36"/>
        <v>1113900</v>
      </c>
      <c r="J88" s="308">
        <f t="shared" ca="1" si="37"/>
        <v>0</v>
      </c>
      <c r="K88" s="309">
        <f t="shared" ca="1" si="38"/>
        <v>1113900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462">
        <v>4</v>
      </c>
      <c r="C89" s="467" t="s">
        <v>77</v>
      </c>
      <c r="D89" s="305" t="str">
        <f ca="1">IF(ISERROR(OFFSET('HARGA SATUAN'!$D$6,MATCH(RAB!C89,'HARGA SATUAN'!$C$7:$C$1495,0),0)),"",OFFSET('HARGA SATUAN'!$D$6,MATCH(RAB!C89,'HARGA SATUAN'!$C$7:$C$1495,0),0))</f>
        <v>MDU-KD</v>
      </c>
      <c r="E89" s="306" t="str">
        <f ca="1">IF(B89="+","Unit",IF(ISERROR(OFFSET('HARGA SATUAN'!$E$6,MATCH(RAB!C89,'HARGA SATUAN'!$C$7:$C$1495,0),0)),"",OFFSET('HARGA SATUAN'!$E$6,MATCH(RAB!C89,'HARGA SATUAN'!$C$7:$C$1495,0),0)))</f>
        <v>Mtr</v>
      </c>
      <c r="F89" s="464">
        <v>40</v>
      </c>
      <c r="G89" s="307">
        <f ca="1">IF(ISERROR(OFFSET('HARGA SATUAN'!$I$6,MATCH(RAB!C89,'HARGA SATUAN'!$C$7:$C$1495,0),0)),0,OFFSET('HARGA SATUAN'!$I$6,MATCH(RAB!C89,'HARGA SATUAN'!$C$7:$C$1495,0),0))</f>
        <v>13500</v>
      </c>
      <c r="H89" s="308">
        <f t="shared" ca="1" si="35"/>
        <v>540000</v>
      </c>
      <c r="I89" s="308">
        <f t="shared" ca="1" si="36"/>
        <v>0</v>
      </c>
      <c r="J89" s="308">
        <f t="shared" ca="1" si="37"/>
        <v>0</v>
      </c>
      <c r="K89" s="309">
        <f t="shared" ca="1" si="38"/>
        <v>540000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462">
        <v>5</v>
      </c>
      <c r="C90" s="467" t="s">
        <v>799</v>
      </c>
      <c r="D90" s="305" t="str">
        <f ca="1">IF(ISERROR(OFFSET('HARGA SATUAN'!$D$6,MATCH(RAB!C90,'HARGA SATUAN'!$C$7:$C$1495,0),0)),"",OFFSET('HARGA SATUAN'!$D$6,MATCH(RAB!C90,'HARGA SATUAN'!$C$7:$C$1495,0),0))</f>
        <v>JASA</v>
      </c>
      <c r="E90" s="306" t="str">
        <f ca="1">IF(B90="+","Unit",IF(ISERROR(OFFSET('HARGA SATUAN'!$E$6,MATCH(RAB!C90,'HARGA SATUAN'!$C$7:$C$1495,0),0)),"",OFFSET('HARGA SATUAN'!$E$6,MATCH(RAB!C90,'HARGA SATUAN'!$C$7:$C$1495,0),0)))</f>
        <v>Unit</v>
      </c>
      <c r="F90" s="464">
        <f>F85*1</f>
        <v>1</v>
      </c>
      <c r="G90" s="307">
        <f ca="1">IF(ISERROR(OFFSET('HARGA SATUAN'!$I$6,MATCH(RAB!C90,'HARGA SATUAN'!$C$7:$C$1495,0),0)),0,OFFSET('HARGA SATUAN'!$I$6,MATCH(RAB!C90,'HARGA SATUAN'!$C$7:$C$1495,0),0))</f>
        <v>106400</v>
      </c>
      <c r="H90" s="308">
        <f t="shared" ref="H90" ca="1" si="39">IF(OR(D90="MDU",D90="MDU-KD"),(IF($O$3="RAB NON MDU","PLN KD",G90*F90)),0)</f>
        <v>0</v>
      </c>
      <c r="I90" s="308">
        <f t="shared" ref="I90" ca="1" si="40">IF(D90="HDW",G90*F90,0)</f>
        <v>0</v>
      </c>
      <c r="J90" s="308">
        <f t="shared" ref="J90" ca="1" si="41">IF(D90="JASA",G90*F90,0)</f>
        <v>106400</v>
      </c>
      <c r="K90" s="309">
        <f t="shared" ref="K90" ca="1" si="42">SUM(H90:J90)</f>
        <v>106400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318"/>
      <c r="C91" s="319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54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35"/>
        <v>0</v>
      </c>
      <c r="I91" s="308">
        <f t="shared" ca="1" si="36"/>
        <v>0</v>
      </c>
      <c r="J91" s="308">
        <f t="shared" ca="1" si="37"/>
        <v>0</v>
      </c>
      <c r="K91" s="309">
        <f t="shared" ca="1" si="38"/>
        <v>0</v>
      </c>
      <c r="L91" s="316"/>
      <c r="M91" s="289" t="str">
        <f ca="1">IF(AND(F91&gt;0,F84=0),"",IF(AND(ISBLANK(F91)=FALSE,K91=0),"WARNING",""))</f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 t="s">
        <v>1035</v>
      </c>
      <c r="C92" s="319" t="s">
        <v>1618</v>
      </c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>Unit</v>
      </c>
      <c r="F92" s="453">
        <v>1</v>
      </c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35"/>
        <v>0</v>
      </c>
      <c r="I92" s="308">
        <f t="shared" ca="1" si="36"/>
        <v>0</v>
      </c>
      <c r="J92" s="308">
        <f t="shared" ca="1" si="37"/>
        <v>0</v>
      </c>
      <c r="K92" s="309">
        <f t="shared" ca="1" si="38"/>
        <v>0</v>
      </c>
      <c r="L92" s="316"/>
      <c r="M92" s="289" t="str">
        <f t="shared" si="22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318">
        <v>1</v>
      </c>
      <c r="C93" s="319" t="s">
        <v>29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453">
        <f>F92*1</f>
        <v>1</v>
      </c>
      <c r="G93" s="307">
        <f ca="1">IF(ISERROR(OFFSET('HARGA SATUAN'!$I$6,MATCH(RAB!C93,'HARGA SATUAN'!$C$7:$C$1495,0),0)),0,OFFSET('HARGA SATUAN'!$I$6,MATCH(RAB!C93,'HARGA SATUAN'!$C$7:$C$1495,0),0))</f>
        <v>185200</v>
      </c>
      <c r="H93" s="308">
        <f t="shared" ca="1" si="35"/>
        <v>0</v>
      </c>
      <c r="I93" s="308">
        <f t="shared" ca="1" si="36"/>
        <v>185200</v>
      </c>
      <c r="J93" s="308">
        <f t="shared" ca="1" si="37"/>
        <v>0</v>
      </c>
      <c r="K93" s="309">
        <f t="shared" ca="1" si="38"/>
        <v>185200</v>
      </c>
      <c r="L93" s="316"/>
      <c r="M93" s="289" t="str">
        <f t="shared" ca="1" si="22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318">
        <v>2</v>
      </c>
      <c r="C94" s="319" t="s">
        <v>30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Bh</v>
      </c>
      <c r="F94" s="453">
        <f>F92*1</f>
        <v>1</v>
      </c>
      <c r="G94" s="307">
        <f ca="1">IF(ISERROR(OFFSET('HARGA SATUAN'!$I$6,MATCH(RAB!C94,'HARGA SATUAN'!$C$7:$C$1495,0),0)),0,OFFSET('HARGA SATUAN'!$I$6,MATCH(RAB!C94,'HARGA SATUAN'!$C$7:$C$1495,0),0))</f>
        <v>47459</v>
      </c>
      <c r="H94" s="308">
        <f t="shared" ca="1" si="35"/>
        <v>0</v>
      </c>
      <c r="I94" s="308">
        <f t="shared" ca="1" si="36"/>
        <v>47459</v>
      </c>
      <c r="J94" s="308">
        <f t="shared" ca="1" si="37"/>
        <v>0</v>
      </c>
      <c r="K94" s="309">
        <f t="shared" ca="1" si="38"/>
        <v>47459</v>
      </c>
      <c r="L94" s="316"/>
      <c r="M94" s="289" t="str">
        <f t="shared" ca="1" si="22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318">
        <v>3</v>
      </c>
      <c r="C95" s="319" t="s">
        <v>32</v>
      </c>
      <c r="D95" s="305" t="str">
        <f ca="1">IF(ISERROR(OFFSET('HARGA SATUAN'!$D$6,MATCH(RAB!C95,'HARGA SATUAN'!$C$7:$C$1495,0),0)),"",OFFSET('HARGA SATUAN'!$D$6,MATCH(RAB!C95,'HARGA SATUAN'!$C$7:$C$1495,0),0))</f>
        <v>HDW</v>
      </c>
      <c r="E95" s="306" t="str">
        <f ca="1">IF(B95="+","Unit",IF(ISERROR(OFFSET('HARGA SATUAN'!$E$6,MATCH(RAB!C95,'HARGA SATUAN'!$C$7:$C$1495,0),0)),"",OFFSET('HARGA SATUAN'!$E$6,MATCH(RAB!C95,'HARGA SATUAN'!$C$7:$C$1495,0),0)))</f>
        <v>Mtr</v>
      </c>
      <c r="F95" s="453">
        <f>F92*1.5</f>
        <v>1.5</v>
      </c>
      <c r="G95" s="307">
        <f ca="1">IF(ISERROR(OFFSET('HARGA SATUAN'!$I$6,MATCH(RAB!C95,'HARGA SATUAN'!$C$7:$C$1495,0),0)),0,OFFSET('HARGA SATUAN'!$I$6,MATCH(RAB!C95,'HARGA SATUAN'!$C$7:$C$1495,0),0))</f>
        <v>30000</v>
      </c>
      <c r="H95" s="308">
        <f t="shared" ca="1" si="35"/>
        <v>0</v>
      </c>
      <c r="I95" s="308">
        <f t="shared" ca="1" si="36"/>
        <v>45000</v>
      </c>
      <c r="J95" s="308">
        <f t="shared" ca="1" si="37"/>
        <v>0</v>
      </c>
      <c r="K95" s="309">
        <f t="shared" ca="1" si="38"/>
        <v>45000</v>
      </c>
      <c r="L95" s="316"/>
      <c r="M95" s="289" t="str">
        <f t="shared" ca="1" si="22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318">
        <v>4</v>
      </c>
      <c r="C96" s="319" t="s">
        <v>33</v>
      </c>
      <c r="D96" s="305" t="str">
        <f ca="1">IF(ISERROR(OFFSET('HARGA SATUAN'!$D$6,MATCH(RAB!C96,'HARGA SATUAN'!$C$7:$C$1495,0),0)),"",OFFSET('HARGA SATUAN'!$D$6,MATCH(RAB!C96,'HARGA SATUAN'!$C$7:$C$1495,0),0))</f>
        <v>HDW</v>
      </c>
      <c r="E96" s="306" t="str">
        <f ca="1">IF(B96="+","Unit",IF(ISERROR(OFFSET('HARGA SATUAN'!$E$6,MATCH(RAB!C96,'HARGA SATUAN'!$C$7:$C$1495,0),0)),"",OFFSET('HARGA SATUAN'!$E$6,MATCH(RAB!C96,'HARGA SATUAN'!$C$7:$C$1495,0),0)))</f>
        <v>Bh</v>
      </c>
      <c r="F96" s="453">
        <f>F92*2</f>
        <v>2</v>
      </c>
      <c r="G96" s="307">
        <f ca="1">IF(ISERROR(OFFSET('HARGA SATUAN'!$I$6,MATCH(RAB!C96,'HARGA SATUAN'!$C$7:$C$1495,0),0)),0,OFFSET('HARGA SATUAN'!$I$6,MATCH(RAB!C96,'HARGA SATUAN'!$C$7:$C$1495,0),0))</f>
        <v>9500</v>
      </c>
      <c r="H96" s="308">
        <f t="shared" ca="1" si="35"/>
        <v>0</v>
      </c>
      <c r="I96" s="308">
        <f t="shared" ca="1" si="36"/>
        <v>19000</v>
      </c>
      <c r="J96" s="308">
        <f t="shared" ca="1" si="37"/>
        <v>0</v>
      </c>
      <c r="K96" s="309">
        <f t="shared" ca="1" si="38"/>
        <v>19000</v>
      </c>
      <c r="L96" s="316"/>
      <c r="M96" s="289" t="str">
        <f t="shared" ca="1" si="22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318">
        <v>5</v>
      </c>
      <c r="C97" s="319" t="s">
        <v>735</v>
      </c>
      <c r="D97" s="305" t="str">
        <f ca="1">IF(ISERROR(OFFSET('HARGA SATUAN'!$D$6,MATCH(RAB!C97,'HARGA SATUAN'!$C$7:$C$1495,0),0)),"",OFFSET('HARGA SATUAN'!$D$6,MATCH(RAB!C97,'HARGA SATUAN'!$C$7:$C$1495,0),0))</f>
        <v>JASA</v>
      </c>
      <c r="E97" s="306" t="str">
        <f ca="1">IF(B97="+","Unit",IF(ISERROR(OFFSET('HARGA SATUAN'!$E$6,MATCH(RAB!C97,'HARGA SATUAN'!$C$7:$C$1495,0),0)),"",OFFSET('HARGA SATUAN'!$E$6,MATCH(RAB!C97,'HARGA SATUAN'!$C$7:$C$1495,0),0)))</f>
        <v>Unit</v>
      </c>
      <c r="F97" s="453">
        <f>F92*1</f>
        <v>1</v>
      </c>
      <c r="G97" s="307">
        <f ca="1">IF(ISERROR(OFFSET('HARGA SATUAN'!$I$6,MATCH(RAB!C97,'HARGA SATUAN'!$C$7:$C$1495,0),0)),0,OFFSET('HARGA SATUAN'!$I$6,MATCH(RAB!C97,'HARGA SATUAN'!$C$7:$C$1495,0),0))</f>
        <v>56400</v>
      </c>
      <c r="H97" s="308">
        <f t="shared" ca="1" si="35"/>
        <v>0</v>
      </c>
      <c r="I97" s="308">
        <f t="shared" ca="1" si="36"/>
        <v>0</v>
      </c>
      <c r="J97" s="308">
        <f t="shared" ca="1" si="37"/>
        <v>56400</v>
      </c>
      <c r="K97" s="309">
        <f t="shared" ca="1" si="38"/>
        <v>56400</v>
      </c>
      <c r="L97" s="316"/>
      <c r="M97" s="289" t="str">
        <f t="shared" ca="1" si="22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>
      <c r="B98" s="321"/>
      <c r="C98" s="320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315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35"/>
        <v>0</v>
      </c>
      <c r="I98" s="308">
        <f t="shared" ca="1" si="36"/>
        <v>0</v>
      </c>
      <c r="J98" s="308">
        <f t="shared" ca="1" si="37"/>
        <v>0</v>
      </c>
      <c r="K98" s="309">
        <f t="shared" ca="1" si="38"/>
        <v>0</v>
      </c>
      <c r="M98" s="289" t="str">
        <f t="shared" ca="1" si="22"/>
        <v/>
      </c>
    </row>
    <row r="99" spans="1:22">
      <c r="B99" s="322"/>
      <c r="C99" s="323" t="s">
        <v>475</v>
      </c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315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31"/>
        <v>0</v>
      </c>
      <c r="I99" s="308">
        <f t="shared" ca="1" si="32"/>
        <v>0</v>
      </c>
      <c r="J99" s="308">
        <f t="shared" ca="1" si="33"/>
        <v>0</v>
      </c>
      <c r="K99" s="309">
        <f t="shared" ca="1" si="34"/>
        <v>0</v>
      </c>
      <c r="M99" s="289" t="e">
        <f>IF(AND(F99&gt;0,#REF!=0),"",IF(AND(ISBLANK(F99)=FALSE,K99=0),"WARNING",""))</f>
        <v>#REF!</v>
      </c>
    </row>
    <row r="100" spans="1:22">
      <c r="B100" s="325">
        <v>1</v>
      </c>
      <c r="C100" s="326" t="s">
        <v>1091</v>
      </c>
      <c r="D100" s="327" t="str">
        <f ca="1">IF(ISERROR(OFFSET('HARGA SATUAN'!$D$6,MATCH(RAB!C100,'HARGA SATUAN'!$C$7:$C$1495,0),0)),"",OFFSET('HARGA SATUAN'!$D$6,MATCH(RAB!C100,'HARGA SATUAN'!$C$7:$C$1495,0),0))</f>
        <v>JASA</v>
      </c>
      <c r="E100" s="328" t="str">
        <f ca="1">IF(ISERROR(OFFSET('HARGA SATUAN'!$E$6,MATCH(RAB!C100,'HARGA SATUAN'!$C$7:$C$1495,0),0)),"",OFFSET('HARGA SATUAN'!$E$6,MATCH(RAB!C100,'HARGA SATUAN'!$C$7:$C$1495,0),0))</f>
        <v>Lot</v>
      </c>
      <c r="F100" s="329">
        <v>1</v>
      </c>
      <c r="G100" s="330">
        <f ca="1">IF(ISERROR(OFFSET('HARGA SATUAN'!$I$6,MATCH(RAB!C100,'HARGA SATUAN'!$C$7:$C$1495,0),0)),0,OFFSET('HARGA SATUAN'!$I$6,MATCH(RAB!C100,'HARGA SATUAN'!$C$7:$C$1495,0),0))</f>
        <v>2.5000000000000001E-2</v>
      </c>
      <c r="H100" s="331">
        <f ca="1">SUM(H14:H99)*G100</f>
        <v>819557.5</v>
      </c>
      <c r="I100" s="331">
        <f ca="1">SUM(I14:I99)*G100</f>
        <v>438397.10000000003</v>
      </c>
      <c r="J100" s="331">
        <f ca="1">SUM(J14:J99)*G100</f>
        <v>77231.666666666672</v>
      </c>
      <c r="K100" s="331">
        <f ca="1">SUM(K14:K99)*G100</f>
        <v>1335186.2666666666</v>
      </c>
      <c r="M100" s="289" t="str">
        <f t="shared" ref="M100" si="43">IF(AND(F100&gt;0,F99=0),"",IF(AND(ISBLANK(F100)=FALSE,K100=0),"WARNING",""))</f>
        <v/>
      </c>
    </row>
    <row r="101" spans="1:22">
      <c r="B101" s="332"/>
      <c r="C101" s="333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IF(ISERROR(OFFSET('HARGA SATUAN'!$E$6,MATCH(RAB!C101,'HARGA SATUAN'!$C$7:$C$1495,0),0)),"",OFFSET('HARGA SATUAN'!$E$6,MATCH(RAB!C101,'HARGA SATUAN'!$C$7:$C$1495,0),0))</f>
        <v/>
      </c>
      <c r="F101" s="324"/>
      <c r="G101" s="307" t="str">
        <f ca="1">IF(ISERROR(OFFSET('HARGA SATUAN'!$I$6,MATCH(RAB!C101,'HARGA SATUAN'!$C$7:$C$1495,0),0)),"",OFFSET('HARGA SATUAN'!$I$6,MATCH(RAB!C101,'HARGA SATUAN'!$C$7:$C$1495,0),0))</f>
        <v/>
      </c>
      <c r="H101" s="308">
        <f ca="1">IF(OR(D101="MDU",D101="MDU-KD"),IF(G101="PLN",0,G101*F101),0)</f>
        <v>0</v>
      </c>
      <c r="I101" s="308">
        <f ca="1">IF(D101="HDW",IF(G101="PLN",0,G101*F101),0)</f>
        <v>0</v>
      </c>
      <c r="J101" s="308">
        <f ca="1">IF(D101="JASA",IF(G101="PLN",0,G101*F101),0)</f>
        <v>0</v>
      </c>
      <c r="K101" s="309">
        <f ca="1">SUM(H101:J101)</f>
        <v>0</v>
      </c>
    </row>
    <row r="102" spans="1:22" ht="15.75" thickBot="1">
      <c r="B102" s="334"/>
      <c r="C102" s="335"/>
      <c r="D102" s="336"/>
      <c r="E102" s="337"/>
      <c r="F102" s="337"/>
      <c r="G102" s="337"/>
      <c r="H102" s="338"/>
      <c r="I102" s="338"/>
      <c r="J102" s="338"/>
      <c r="K102" s="339"/>
    </row>
    <row r="103" spans="1:22">
      <c r="B103" s="340"/>
      <c r="C103" s="618" t="s">
        <v>1008</v>
      </c>
      <c r="D103" s="618"/>
      <c r="E103" s="618"/>
      <c r="F103" s="618"/>
      <c r="G103" s="341" t="s">
        <v>9</v>
      </c>
      <c r="H103" s="342">
        <f ca="1">SUM(H14:H101)</f>
        <v>33601857.5</v>
      </c>
      <c r="I103" s="342">
        <f ca="1">SUM(I14:I101)</f>
        <v>17974281.100000001</v>
      </c>
      <c r="J103" s="342">
        <f ca="1">SUM(J14:J101)</f>
        <v>3166498.3333333335</v>
      </c>
      <c r="K103" s="342">
        <f ca="1">SUM(K14:K101)</f>
        <v>54742636.93333333</v>
      </c>
    </row>
    <row r="104" spans="1:22">
      <c r="B104" s="343"/>
      <c r="C104" s="635" t="s">
        <v>1455</v>
      </c>
      <c r="D104" s="635"/>
      <c r="E104" s="635"/>
      <c r="F104" s="635"/>
      <c r="G104" s="344" t="s">
        <v>9</v>
      </c>
      <c r="H104" s="345">
        <f ca="1">H103*0.11</f>
        <v>3696204.3250000002</v>
      </c>
      <c r="I104" s="345">
        <f ca="1">I103*0.11</f>
        <v>1977170.9210000001</v>
      </c>
      <c r="J104" s="345">
        <f ca="1">J103*0.11</f>
        <v>348314.81666666671</v>
      </c>
      <c r="K104" s="345">
        <f ca="1">K103*0.11</f>
        <v>6021690.0626666667</v>
      </c>
    </row>
    <row r="105" spans="1:22" ht="15.75" thickBot="1">
      <c r="B105" s="343"/>
      <c r="C105" s="632" t="s">
        <v>463</v>
      </c>
      <c r="D105" s="632"/>
      <c r="E105" s="632"/>
      <c r="F105" s="632"/>
      <c r="G105" s="346" t="s">
        <v>9</v>
      </c>
      <c r="H105" s="347">
        <f ca="1">SUM(H103:H104)</f>
        <v>37298061.825000003</v>
      </c>
      <c r="I105" s="347">
        <f ca="1">SUM(I103:I104)</f>
        <v>19951452.021000002</v>
      </c>
      <c r="J105" s="346">
        <f ca="1">SUM(J103:J104)</f>
        <v>3514813.1500000004</v>
      </c>
      <c r="K105" s="346">
        <f ca="1">SUM(K103:K104)</f>
        <v>60764326.995999999</v>
      </c>
      <c r="M105" s="411">
        <v>201265205.30690998</v>
      </c>
    </row>
    <row r="106" spans="1:22">
      <c r="B106" s="636" t="str">
        <f ca="1">"Terbilang : "&amp;PROPER(IF(K105=0,"nol",IF(K105&lt;0,"minus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IF(--MID(TEXT(ABS(K105),"000000000000000"),1,3)=0,"",MID(TEXT(ABS(K105),"000000000000000"),1,1)&amp;" ratus "&amp;MID(TEXT(ABS(K105),"000000000000000"),2,1)&amp;" puluh "&amp;MID(TEXT(ABS(K105),"000000000000000"),3,1)&amp;" trilyun ")&amp; IF(--MID(TEXT(ABS(K105),"000000000000000"),4,3)=0,"",MID(TEXT(ABS(K105),"000000000000000"),4,1)&amp;" ratus "&amp;MID(TEXT(ABS(K105),"000000000000000"),5,1)&amp;" puluh "&amp;MID(TEXT(ABS(K105),"000000000000000"),6,1)&amp;" milyar ")&amp; IF(--MID(TEXT(ABS(K105),"000000000000000"),7,3)=0,"",MID(TEXT(ABS(K105),"000000000000000"),7,1)&amp;" ratus "&amp;MID(TEXT(ABS(K105),"000000000000000"),8,1)&amp;" puluh "&amp;MID(TEXT(ABS(K105),"000000000000000"),9,1)&amp;" juta ")&amp; IF(--MID(TEXT(ABS(K105),"000000000000000"),10,3)=0,"",IF(--MID(TEXT(ABS(K105),"000000000000000"),10,3)=1,"*",MID(TEXT(ABS(K105),"000000000000000"),10,1)&amp;" ratus "&amp;MID(TEXT(ABS(K105),"000000000000000"),11,1)&amp;" puluh ")&amp;MID(TEXT(ABS(K105),"000000000000000"),12,1)&amp;" ribu ")&amp; IF(--MID(TEXT(ABS(K105),"000000000000000"),13,3)=0,"",MID(TEXT(ABS(K105),"000000000000000"),13,1)&amp;" ratus "&amp;MID(TEXT(ABS(K105),"000000000000000"),14,1)&amp;" puluh "&amp;MID(TEXT(ABS(K105),"000000000000000"),15,1)),1,"satu"),2,"dua"),3,"tiga"),4,"empat"),5,"lima"),6,"enam"),7,"tujuh"),8,"delapan"),9,"sembilan"),"0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Puluh Juta Tujuh Ratus Enam Puluh Empat Ribu Tiga Ratus Dua Puluh Tujuh Rupiah</v>
      </c>
      <c r="C106" s="637"/>
      <c r="D106" s="637"/>
      <c r="E106" s="637"/>
      <c r="F106" s="637"/>
      <c r="G106" s="637"/>
      <c r="H106" s="637"/>
      <c r="I106" s="637"/>
      <c r="J106" s="637"/>
      <c r="K106" s="638"/>
    </row>
    <row r="107" spans="1:22">
      <c r="B107" s="639"/>
      <c r="C107" s="640"/>
      <c r="D107" s="640"/>
      <c r="E107" s="640"/>
      <c r="F107" s="640"/>
      <c r="G107" s="640"/>
      <c r="H107" s="640"/>
      <c r="I107" s="640"/>
      <c r="J107" s="640"/>
      <c r="K107" s="641"/>
    </row>
    <row r="108" spans="1:22" ht="15.75" thickBot="1">
      <c r="B108" s="348" t="str">
        <f>"Harga yang dipakai adalah "&amp;'HARGA SATUAN'!I5&amp;""</f>
        <v>Harga yang dipakai adalah RAB HSS 2023</v>
      </c>
      <c r="C108" s="349"/>
      <c r="D108" s="350"/>
      <c r="E108" s="350"/>
      <c r="F108" s="350"/>
      <c r="G108" s="351"/>
      <c r="H108" s="351"/>
      <c r="I108" s="351"/>
      <c r="J108" s="351"/>
      <c r="K108" s="352"/>
    </row>
    <row r="109" spans="1:22">
      <c r="C109" s="353"/>
      <c r="E109" s="355"/>
      <c r="F109" s="355"/>
      <c r="G109" s="355"/>
    </row>
    <row r="110" spans="1:22">
      <c r="C110" s="284"/>
      <c r="E110" s="355"/>
      <c r="F110" s="355"/>
      <c r="G110" s="355"/>
      <c r="H110" s="642"/>
      <c r="I110" s="642"/>
      <c r="J110" s="643"/>
      <c r="K110" s="643"/>
    </row>
    <row r="111" spans="1:22">
      <c r="C111" s="284"/>
      <c r="E111" s="355"/>
      <c r="F111" s="355"/>
      <c r="G111" s="355"/>
      <c r="H111" s="356"/>
      <c r="I111" s="631" t="s">
        <v>1616</v>
      </c>
      <c r="J111" s="631"/>
      <c r="K111" s="631"/>
    </row>
    <row r="112" spans="1:22">
      <c r="C112" s="284"/>
      <c r="E112" s="355"/>
      <c r="F112" s="355"/>
      <c r="G112" s="355"/>
      <c r="H112" s="356"/>
      <c r="I112" s="631" t="s">
        <v>1611</v>
      </c>
      <c r="J112" s="631"/>
      <c r="K112" s="631"/>
    </row>
    <row r="113" spans="3:11">
      <c r="C113" s="284"/>
      <c r="E113" s="355"/>
      <c r="F113" s="355"/>
      <c r="G113" s="355"/>
      <c r="H113" s="357"/>
      <c r="I113" s="358"/>
      <c r="J113" s="358"/>
      <c r="K113" s="358"/>
    </row>
    <row r="114" spans="3:11">
      <c r="C114" s="284"/>
      <c r="E114" s="355"/>
      <c r="F114" s="355"/>
      <c r="G114" s="355"/>
      <c r="H114" s="357"/>
      <c r="I114" s="357"/>
      <c r="J114" s="357"/>
      <c r="K114" s="357"/>
    </row>
    <row r="115" spans="3:11">
      <c r="C115" s="284"/>
      <c r="E115" s="355"/>
      <c r="F115" s="355"/>
      <c r="G115" s="355"/>
      <c r="H115" s="357"/>
      <c r="I115" s="357"/>
      <c r="J115" s="357"/>
      <c r="K115" s="357"/>
    </row>
    <row r="116" spans="3:11">
      <c r="C116" s="284"/>
      <c r="E116" s="355"/>
      <c r="F116" s="355"/>
      <c r="G116" s="355"/>
      <c r="H116" s="357"/>
      <c r="I116" s="357"/>
      <c r="J116" s="357"/>
      <c r="K116" s="357"/>
    </row>
    <row r="117" spans="3:11">
      <c r="C117" s="284"/>
      <c r="E117" s="355"/>
      <c r="F117" s="355"/>
      <c r="G117" s="355"/>
      <c r="H117" s="359"/>
      <c r="I117" s="631" t="s">
        <v>1612</v>
      </c>
      <c r="J117" s="631"/>
      <c r="K117" s="631"/>
    </row>
    <row r="118" spans="3:11">
      <c r="C118" s="353"/>
      <c r="E118" s="355"/>
      <c r="F118" s="355"/>
      <c r="G118" s="355"/>
      <c r="H118" s="357"/>
      <c r="I118" s="357"/>
      <c r="J118" s="357"/>
      <c r="K118" s="357"/>
    </row>
    <row r="119" spans="3:11">
      <c r="C119" s="353"/>
      <c r="E119" s="355"/>
      <c r="F119" s="355"/>
      <c r="G119" s="355"/>
      <c r="H119" s="357"/>
      <c r="I119" s="357"/>
      <c r="J119" s="357"/>
      <c r="K119" s="357"/>
    </row>
    <row r="120" spans="3:11">
      <c r="C120" s="353"/>
      <c r="E120" s="355"/>
      <c r="F120" s="355"/>
      <c r="G120" s="355"/>
      <c r="H120" s="357"/>
      <c r="I120" s="357"/>
      <c r="J120" s="357"/>
      <c r="K120" s="357"/>
    </row>
  </sheetData>
  <sheetProtection sort="0" autoFilter="0"/>
  <protectedRanges>
    <protectedRange sqref="B84:C84 B15 B16:C16 B19:C30 B81:B83 B60:C80 B17:B18" name="Range1_6_1"/>
    <protectedRange sqref="B37:C39" name="Range1_6_1_1_1"/>
    <protectedRange sqref="B31:C36" name="Range1_6_1_2"/>
    <protectedRange sqref="C83" name="Range1_6_1_10"/>
    <protectedRange sqref="B91:C97 B85:B90" name="Range1_6_1_11"/>
    <protectedRange sqref="B40:C59" name="Range1_6_1_15"/>
    <protectedRange sqref="C85:C88 C90" name="Range1_6_1_18"/>
    <protectedRange sqref="C89" name="Range1_1_3_2"/>
    <protectedRange sqref="C81" name="Range1_1_3"/>
    <protectedRange sqref="C82" name="Range1_1_3_1"/>
    <protectedRange sqref="C17" name="Range1_1_3_3"/>
    <protectedRange sqref="C18" name="Range1_1_3_4"/>
  </protectedRanges>
  <mergeCells count="22">
    <mergeCell ref="I112:K112"/>
    <mergeCell ref="I117:K117"/>
    <mergeCell ref="C105:F105"/>
    <mergeCell ref="G6:K6"/>
    <mergeCell ref="I111:K111"/>
    <mergeCell ref="C104:F104"/>
    <mergeCell ref="B106:K107"/>
    <mergeCell ref="H110:K110"/>
    <mergeCell ref="H11:K11"/>
    <mergeCell ref="H12:H13"/>
    <mergeCell ref="J12:J13"/>
    <mergeCell ref="K12:K13"/>
    <mergeCell ref="O3:P4"/>
    <mergeCell ref="B4:K4"/>
    <mergeCell ref="C103:F103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">
    <cfRule type="cellIs" dxfId="15" priority="86" operator="equal">
      <formula>0</formula>
    </cfRule>
  </conditionalFormatting>
  <conditionalFormatting sqref="C86">
    <cfRule type="cellIs" dxfId="13" priority="11" operator="equal">
      <formula>0</formula>
    </cfRule>
  </conditionalFormatting>
  <conditionalFormatting sqref="E1:E3 E5:E13 H12:I12 O13 E100:G100 H100:K102 E101:H101 E102:F102 S14:V97 E14:K19 E33:K33 E27:E32 G27:K32 E26:K26 E20:E25 G20:K25 E39:K39 E34:E38 G34:K38 E59:K99 E40:E58 G40:K58">
    <cfRule type="cellIs" dxfId="12" priority="1130" stopIfTrue="1" operator="equal">
      <formula>0</formula>
    </cfRule>
  </conditionalFormatting>
  <conditionalFormatting sqref="G1:G13">
    <cfRule type="cellIs" dxfId="11" priority="55" stopIfTrue="1" operator="equal">
      <formula>0</formula>
    </cfRule>
  </conditionalFormatting>
  <conditionalFormatting sqref="G101:G65567 E106:E65567">
    <cfRule type="cellIs" dxfId="10" priority="264" stopIfTrue="1" operator="equal">
      <formula>0</formula>
    </cfRule>
  </conditionalFormatting>
  <conditionalFormatting sqref="C81">
    <cfRule type="cellIs" dxfId="9" priority="10" operator="equal">
      <formula>0</formula>
    </cfRule>
  </conditionalFormatting>
  <conditionalFormatting sqref="C82">
    <cfRule type="cellIs" dxfId="8" priority="9" operator="equal">
      <formula>0</formula>
    </cfRule>
  </conditionalFormatting>
  <conditionalFormatting sqref="C17">
    <cfRule type="cellIs" dxfId="7" priority="8" operator="equal">
      <formula>0</formula>
    </cfRule>
  </conditionalFormatting>
  <conditionalFormatting sqref="C18">
    <cfRule type="cellIs" dxfId="6" priority="7" operator="equal">
      <formula>0</formula>
    </cfRule>
  </conditionalFormatting>
  <conditionalFormatting sqref="F27:F32">
    <cfRule type="cellIs" dxfId="5" priority="6" stopIfTrue="1" operator="equal">
      <formula>0</formula>
    </cfRule>
  </conditionalFormatting>
  <conditionalFormatting sqref="F20:F25">
    <cfRule type="cellIs" dxfId="4" priority="5" stopIfTrue="1" operator="equal">
      <formula>0</formula>
    </cfRule>
  </conditionalFormatting>
  <conditionalFormatting sqref="F34:F38">
    <cfRule type="cellIs" dxfId="3" priority="4" stopIfTrue="1" operator="equal">
      <formula>0</formula>
    </cfRule>
  </conditionalFormatting>
  <conditionalFormatting sqref="F40:F47 F53">
    <cfRule type="cellIs" dxfId="2" priority="3" stopIfTrue="1" operator="equal">
      <formula>0</formula>
    </cfRule>
  </conditionalFormatting>
  <conditionalFormatting sqref="F48:F52">
    <cfRule type="cellIs" dxfId="1" priority="2" stopIfTrue="1" operator="equal">
      <formula>0</formula>
    </cfRule>
  </conditionalFormatting>
  <conditionalFormatting sqref="F54:F58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92:F97 H14:K102 F81:F83 F16:F47 F51 F53:F7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100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abSelected="1" topLeftCell="C13" zoomScale="115" zoomScaleNormal="115" zoomScaleSheetLayoutView="100" workbookViewId="0">
      <selection activeCell="AA26" sqref="AA26:AB26"/>
    </sheetView>
  </sheetViews>
  <sheetFormatPr defaultColWidth="9.140625" defaultRowHeight="12"/>
  <cols>
    <col min="1" max="2" width="1.42578125" style="468" customWidth="1"/>
    <col min="3" max="3" width="7.42578125" style="468" customWidth="1"/>
    <col min="4" max="23" width="5.7109375" style="468" customWidth="1"/>
    <col min="24" max="24" width="6.28515625" style="468" customWidth="1"/>
    <col min="25" max="26" width="5.7109375" style="468" customWidth="1"/>
    <col min="27" max="27" width="6.5703125" style="468" customWidth="1"/>
    <col min="28" max="118" width="5.7109375" style="468" customWidth="1"/>
    <col min="119" max="16384" width="9.140625" style="468"/>
  </cols>
  <sheetData>
    <row r="1" spans="3:30" ht="12.75" thickBot="1"/>
    <row r="2" spans="3:30" ht="12.75" customHeight="1">
      <c r="C2" s="469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470"/>
      <c r="T2" s="470"/>
      <c r="U2" s="470"/>
      <c r="V2" s="470"/>
      <c r="W2" s="701" t="s">
        <v>1438</v>
      </c>
      <c r="X2" s="702"/>
      <c r="Y2" s="702"/>
      <c r="Z2" s="702"/>
      <c r="AA2" s="702"/>
      <c r="AB2" s="702"/>
      <c r="AC2" s="702"/>
      <c r="AD2" s="703"/>
    </row>
    <row r="3" spans="3:30">
      <c r="C3" s="471"/>
      <c r="W3" s="704"/>
      <c r="X3" s="705"/>
      <c r="Y3" s="705"/>
      <c r="Z3" s="705"/>
      <c r="AA3" s="705"/>
      <c r="AB3" s="705"/>
      <c r="AC3" s="705"/>
      <c r="AD3" s="706"/>
    </row>
    <row r="4" spans="3:30">
      <c r="C4" s="471"/>
      <c r="G4" s="472" t="s">
        <v>1639</v>
      </c>
      <c r="W4" s="473" t="s">
        <v>987</v>
      </c>
      <c r="AD4" s="474"/>
    </row>
    <row r="5" spans="3:30">
      <c r="C5" s="471"/>
      <c r="W5" s="475" t="s">
        <v>991</v>
      </c>
      <c r="X5" s="648" t="s">
        <v>990</v>
      </c>
      <c r="Y5" s="648"/>
      <c r="Z5" s="648"/>
      <c r="AA5" s="648" t="s">
        <v>988</v>
      </c>
      <c r="AB5" s="648"/>
      <c r="AC5" s="648" t="s">
        <v>989</v>
      </c>
      <c r="AD5" s="649"/>
    </row>
    <row r="6" spans="3:30">
      <c r="C6" s="471"/>
      <c r="W6" s="475">
        <v>1</v>
      </c>
      <c r="X6" s="648" t="s">
        <v>993</v>
      </c>
      <c r="Y6" s="648"/>
      <c r="Z6" s="648"/>
      <c r="AA6" s="648"/>
      <c r="AB6" s="648"/>
      <c r="AC6" s="648"/>
      <c r="AD6" s="649"/>
    </row>
    <row r="7" spans="3:30">
      <c r="C7" s="471"/>
      <c r="W7" s="475">
        <v>2</v>
      </c>
      <c r="X7" s="648" t="s">
        <v>994</v>
      </c>
      <c r="Y7" s="648"/>
      <c r="Z7" s="648"/>
      <c r="AA7" s="648"/>
      <c r="AB7" s="648"/>
      <c r="AC7" s="648"/>
      <c r="AD7" s="649"/>
    </row>
    <row r="8" spans="3:30">
      <c r="C8" s="471"/>
      <c r="W8" s="475">
        <v>3</v>
      </c>
      <c r="X8" s="648" t="s">
        <v>995</v>
      </c>
      <c r="Y8" s="648"/>
      <c r="Z8" s="648"/>
      <c r="AA8" s="648"/>
      <c r="AB8" s="648"/>
      <c r="AC8" s="648"/>
      <c r="AD8" s="649"/>
    </row>
    <row r="9" spans="3:30">
      <c r="C9" s="471"/>
      <c r="W9" s="475">
        <v>4</v>
      </c>
      <c r="X9" s="648" t="s">
        <v>996</v>
      </c>
      <c r="Y9" s="648"/>
      <c r="Z9" s="648"/>
      <c r="AA9" s="648"/>
      <c r="AB9" s="648"/>
      <c r="AC9" s="648"/>
      <c r="AD9" s="649"/>
    </row>
    <row r="10" spans="3:30">
      <c r="C10" s="471"/>
      <c r="W10" s="475">
        <v>5</v>
      </c>
      <c r="X10" s="648" t="s">
        <v>997</v>
      </c>
      <c r="Y10" s="648"/>
      <c r="Z10" s="648"/>
      <c r="AA10" s="648"/>
      <c r="AB10" s="648"/>
      <c r="AC10" s="648"/>
      <c r="AD10" s="649"/>
    </row>
    <row r="11" spans="3:30">
      <c r="C11" s="471"/>
      <c r="W11" s="475">
        <v>6</v>
      </c>
      <c r="X11" s="648" t="s">
        <v>998</v>
      </c>
      <c r="Y11" s="648"/>
      <c r="Z11" s="648"/>
      <c r="AA11" s="648"/>
      <c r="AB11" s="648"/>
      <c r="AC11" s="648"/>
      <c r="AD11" s="649"/>
    </row>
    <row r="12" spans="3:30">
      <c r="C12" s="471"/>
      <c r="W12" s="475">
        <v>7</v>
      </c>
      <c r="X12" s="648" t="s">
        <v>999</v>
      </c>
      <c r="Y12" s="648"/>
      <c r="Z12" s="648"/>
      <c r="AA12" s="648"/>
      <c r="AB12" s="648"/>
      <c r="AC12" s="648"/>
      <c r="AD12" s="649"/>
    </row>
    <row r="13" spans="3:30" ht="12.75" customHeight="1">
      <c r="C13" s="471"/>
      <c r="W13" s="475">
        <v>8</v>
      </c>
      <c r="X13" s="648" t="s">
        <v>1000</v>
      </c>
      <c r="Y13" s="648"/>
      <c r="Z13" s="648"/>
      <c r="AA13" s="648"/>
      <c r="AB13" s="648"/>
      <c r="AC13" s="648"/>
      <c r="AD13" s="649"/>
    </row>
    <row r="14" spans="3:30">
      <c r="C14" s="471"/>
      <c r="W14" s="475">
        <v>9</v>
      </c>
      <c r="X14" s="648" t="s">
        <v>1001</v>
      </c>
      <c r="Y14" s="648"/>
      <c r="Z14" s="648"/>
      <c r="AA14" s="648"/>
      <c r="AB14" s="648"/>
      <c r="AC14" s="648"/>
      <c r="AD14" s="649"/>
    </row>
    <row r="15" spans="3:30">
      <c r="C15" s="471"/>
      <c r="W15" s="475">
        <v>10</v>
      </c>
      <c r="X15" s="648" t="s">
        <v>1010</v>
      </c>
      <c r="Y15" s="648"/>
      <c r="Z15" s="648"/>
      <c r="AA15" s="648"/>
      <c r="AB15" s="648"/>
      <c r="AC15" s="648"/>
      <c r="AD15" s="649"/>
    </row>
    <row r="16" spans="3:30">
      <c r="C16" s="471"/>
      <c r="W16" s="475">
        <v>11</v>
      </c>
      <c r="X16" s="648" t="s">
        <v>1454</v>
      </c>
      <c r="Y16" s="648"/>
      <c r="Z16" s="648"/>
      <c r="AA16" s="648"/>
      <c r="AB16" s="648"/>
      <c r="AC16" s="648"/>
      <c r="AD16" s="649"/>
    </row>
    <row r="17" spans="3:30">
      <c r="C17" s="471"/>
      <c r="S17" s="477"/>
      <c r="W17" s="475">
        <v>12</v>
      </c>
      <c r="X17" s="648" t="s">
        <v>1011</v>
      </c>
      <c r="Y17" s="648"/>
      <c r="Z17" s="648"/>
      <c r="AA17" s="648"/>
      <c r="AB17" s="648"/>
      <c r="AC17" s="648"/>
      <c r="AD17" s="649"/>
    </row>
    <row r="18" spans="3:30">
      <c r="C18" s="478"/>
      <c r="D18" s="479"/>
      <c r="E18" s="479"/>
      <c r="W18" s="475">
        <v>13</v>
      </c>
      <c r="X18" s="648"/>
      <c r="Y18" s="648"/>
      <c r="Z18" s="648"/>
      <c r="AA18" s="648"/>
      <c r="AB18" s="648"/>
      <c r="AC18" s="648"/>
      <c r="AD18" s="649"/>
    </row>
    <row r="19" spans="3:30">
      <c r="C19" s="471"/>
      <c r="W19" s="480"/>
      <c r="X19" s="690"/>
      <c r="Y19" s="690"/>
      <c r="Z19" s="690"/>
      <c r="AA19" s="690"/>
      <c r="AB19" s="690"/>
      <c r="AC19" s="690"/>
      <c r="AD19" s="691"/>
    </row>
    <row r="20" spans="3:30">
      <c r="C20" s="471"/>
      <c r="Q20" s="481"/>
      <c r="W20" s="692" t="s">
        <v>992</v>
      </c>
      <c r="X20" s="693"/>
      <c r="Y20" s="693"/>
      <c r="Z20" s="693"/>
      <c r="AA20" s="693"/>
      <c r="AB20" s="693"/>
      <c r="AC20" s="693"/>
      <c r="AD20" s="694"/>
    </row>
    <row r="21" spans="3:30">
      <c r="C21" s="471"/>
      <c r="W21" s="695" t="s">
        <v>985</v>
      </c>
      <c r="X21" s="696"/>
      <c r="Y21" s="696"/>
      <c r="Z21" s="697"/>
      <c r="AA21" s="698" t="s">
        <v>986</v>
      </c>
      <c r="AB21" s="699"/>
      <c r="AC21" s="699"/>
      <c r="AD21" s="700"/>
    </row>
    <row r="22" spans="3:30">
      <c r="C22" s="471"/>
      <c r="S22" s="482"/>
      <c r="W22" s="684" t="s">
        <v>1628</v>
      </c>
      <c r="X22" s="685"/>
      <c r="Y22" s="483" t="s">
        <v>1617</v>
      </c>
      <c r="Z22" s="484">
        <v>4</v>
      </c>
      <c r="AA22" s="686" t="s">
        <v>1638</v>
      </c>
      <c r="AB22" s="687"/>
      <c r="AC22" s="485" t="s">
        <v>1617</v>
      </c>
      <c r="AD22" s="486">
        <v>2</v>
      </c>
    </row>
    <row r="23" spans="3:30">
      <c r="C23" s="471"/>
      <c r="W23" s="684" t="s">
        <v>1629</v>
      </c>
      <c r="X23" s="685"/>
      <c r="Y23" s="483" t="s">
        <v>1617</v>
      </c>
      <c r="Z23" s="484">
        <v>11</v>
      </c>
      <c r="AA23" s="676" t="s">
        <v>1629</v>
      </c>
      <c r="AB23" s="677"/>
      <c r="AC23" s="485" t="s">
        <v>1617</v>
      </c>
      <c r="AD23" s="486">
        <v>4</v>
      </c>
    </row>
    <row r="24" spans="3:30">
      <c r="C24" s="471"/>
      <c r="W24" s="684" t="s">
        <v>1630</v>
      </c>
      <c r="X24" s="685"/>
      <c r="Y24" s="483" t="s">
        <v>1637</v>
      </c>
      <c r="Z24" s="484">
        <v>4</v>
      </c>
      <c r="AA24" s="688"/>
      <c r="AB24" s="689"/>
      <c r="AC24" s="485"/>
      <c r="AD24" s="486"/>
    </row>
    <row r="25" spans="3:30">
      <c r="C25" s="471"/>
      <c r="W25" s="684" t="s">
        <v>1631</v>
      </c>
      <c r="X25" s="685"/>
      <c r="Y25" s="483" t="s">
        <v>1617</v>
      </c>
      <c r="Z25" s="484">
        <v>4</v>
      </c>
      <c r="AA25" s="676"/>
      <c r="AB25" s="677"/>
      <c r="AC25" s="485"/>
      <c r="AD25" s="486"/>
    </row>
    <row r="26" spans="3:30">
      <c r="C26" s="471"/>
      <c r="W26" s="682" t="s">
        <v>1626</v>
      </c>
      <c r="X26" s="683"/>
      <c r="Y26" s="483" t="s">
        <v>1617</v>
      </c>
      <c r="Z26" s="484">
        <v>1</v>
      </c>
      <c r="AA26" s="676"/>
      <c r="AB26" s="677"/>
      <c r="AC26" s="485"/>
      <c r="AD26" s="486"/>
    </row>
    <row r="27" spans="3:30">
      <c r="C27" s="471"/>
      <c r="W27" s="682" t="s">
        <v>1632</v>
      </c>
      <c r="X27" s="683"/>
      <c r="Y27" s="483" t="s">
        <v>1617</v>
      </c>
      <c r="Z27" s="484">
        <v>1</v>
      </c>
      <c r="AA27" s="676"/>
      <c r="AB27" s="677"/>
      <c r="AC27" s="485"/>
      <c r="AD27" s="486"/>
    </row>
    <row r="28" spans="3:30">
      <c r="C28" s="471"/>
      <c r="W28" s="674" t="s">
        <v>1633</v>
      </c>
      <c r="X28" s="675"/>
      <c r="Y28" s="483" t="s">
        <v>1617</v>
      </c>
      <c r="Z28" s="484">
        <v>1</v>
      </c>
      <c r="AA28" s="676"/>
      <c r="AB28" s="677"/>
      <c r="AC28" s="485"/>
      <c r="AD28" s="486"/>
    </row>
    <row r="29" spans="3:30">
      <c r="C29" s="471"/>
      <c r="W29" s="682" t="s">
        <v>1634</v>
      </c>
      <c r="X29" s="683"/>
      <c r="Y29" s="483" t="s">
        <v>1617</v>
      </c>
      <c r="Z29" s="484">
        <v>1</v>
      </c>
      <c r="AA29" s="676"/>
      <c r="AB29" s="677"/>
      <c r="AC29" s="485"/>
      <c r="AD29" s="486"/>
    </row>
    <row r="30" spans="3:30" ht="11.25" customHeight="1">
      <c r="C30" s="471"/>
      <c r="W30" s="674" t="s">
        <v>1618</v>
      </c>
      <c r="X30" s="675"/>
      <c r="Y30" s="483" t="s">
        <v>1617</v>
      </c>
      <c r="Z30" s="484">
        <v>1</v>
      </c>
      <c r="AA30" s="676"/>
      <c r="AB30" s="677"/>
      <c r="AC30" s="485"/>
      <c r="AD30" s="486"/>
    </row>
    <row r="31" spans="3:30">
      <c r="C31" s="471"/>
      <c r="U31" s="491"/>
      <c r="W31" s="489" t="s">
        <v>1635</v>
      </c>
      <c r="X31" s="490"/>
      <c r="Y31" s="483" t="s">
        <v>1636</v>
      </c>
      <c r="Z31" s="484">
        <v>500</v>
      </c>
      <c r="AA31" s="676"/>
      <c r="AB31" s="677"/>
      <c r="AC31" s="485"/>
      <c r="AD31" s="486"/>
    </row>
    <row r="32" spans="3:30">
      <c r="C32" s="471"/>
      <c r="U32" s="491"/>
      <c r="W32" s="487"/>
      <c r="X32" s="488"/>
      <c r="Y32" s="483"/>
      <c r="Z32" s="484"/>
      <c r="AA32" s="676"/>
      <c r="AB32" s="677"/>
      <c r="AC32" s="485"/>
      <c r="AD32" s="486"/>
    </row>
    <row r="33" spans="3:30">
      <c r="C33" s="471"/>
      <c r="W33" s="674"/>
      <c r="X33" s="675"/>
      <c r="Y33" s="483"/>
      <c r="Z33" s="484"/>
      <c r="AA33" s="676"/>
      <c r="AB33" s="677"/>
      <c r="AC33" s="485"/>
      <c r="AD33" s="486"/>
    </row>
    <row r="34" spans="3:30">
      <c r="C34" s="471"/>
      <c r="Q34" s="468" t="s">
        <v>1607</v>
      </c>
      <c r="W34" s="674"/>
      <c r="X34" s="675"/>
      <c r="Y34" s="483"/>
      <c r="Z34" s="484"/>
      <c r="AA34" s="676"/>
      <c r="AB34" s="677"/>
      <c r="AC34" s="485"/>
      <c r="AD34" s="486"/>
    </row>
    <row r="35" spans="3:30">
      <c r="C35" s="471"/>
      <c r="W35" s="674"/>
      <c r="X35" s="675"/>
      <c r="Y35" s="483"/>
      <c r="Z35" s="484"/>
      <c r="AA35" s="676"/>
      <c r="AB35" s="677"/>
      <c r="AC35" s="485"/>
      <c r="AD35" s="486"/>
    </row>
    <row r="36" spans="3:30">
      <c r="C36" s="471"/>
      <c r="W36" s="674"/>
      <c r="X36" s="675"/>
      <c r="Y36" s="483"/>
      <c r="Z36" s="484"/>
      <c r="AA36" s="676"/>
      <c r="AB36" s="677"/>
      <c r="AC36" s="485"/>
      <c r="AD36" s="486"/>
    </row>
    <row r="37" spans="3:30" ht="12.75" customHeight="1">
      <c r="C37" s="471"/>
      <c r="W37" s="489"/>
      <c r="X37" s="492"/>
      <c r="Y37" s="483"/>
      <c r="Z37" s="484"/>
      <c r="AA37" s="678"/>
      <c r="AB37" s="679"/>
      <c r="AC37" s="485"/>
      <c r="AD37" s="493"/>
    </row>
    <row r="38" spans="3:30" ht="12.75" customHeight="1">
      <c r="C38" s="471"/>
      <c r="W38" s="494"/>
      <c r="X38" s="495"/>
      <c r="Y38" s="483"/>
      <c r="Z38" s="496"/>
      <c r="AA38" s="680"/>
      <c r="AB38" s="681"/>
      <c r="AC38" s="485"/>
      <c r="AD38" s="493"/>
    </row>
    <row r="39" spans="3:30" ht="12" customHeight="1">
      <c r="C39" s="471"/>
      <c r="W39" s="494"/>
      <c r="X39" s="495"/>
      <c r="Y39" s="483"/>
      <c r="Z39" s="496"/>
      <c r="AA39" s="662"/>
      <c r="AB39" s="663"/>
      <c r="AC39" s="485"/>
      <c r="AD39" s="493"/>
    </row>
    <row r="40" spans="3:30" ht="12" customHeight="1">
      <c r="C40" s="471"/>
      <c r="W40" s="497"/>
      <c r="X40" s="498"/>
      <c r="Y40" s="499"/>
      <c r="Z40" s="496"/>
      <c r="AA40" s="500"/>
      <c r="AB40" s="501"/>
      <c r="AC40" s="502"/>
      <c r="AD40" s="503"/>
    </row>
    <row r="41" spans="3:30" ht="12" customHeight="1">
      <c r="C41" s="471"/>
      <c r="W41" s="664"/>
      <c r="X41" s="665"/>
      <c r="Y41" s="504"/>
      <c r="Z41" s="505"/>
      <c r="AA41" s="666"/>
      <c r="AB41" s="667"/>
      <c r="AC41" s="502"/>
      <c r="AD41" s="503"/>
    </row>
    <row r="42" spans="3:30" ht="12" customHeight="1">
      <c r="C42" s="471"/>
      <c r="W42" s="668" t="s">
        <v>1624</v>
      </c>
      <c r="X42" s="669"/>
      <c r="Y42" s="669"/>
      <c r="Z42" s="669"/>
      <c r="AA42" s="669"/>
      <c r="AB42" s="669"/>
      <c r="AC42" s="669"/>
      <c r="AD42" s="670"/>
    </row>
    <row r="43" spans="3:30" ht="12" customHeight="1">
      <c r="C43" s="471"/>
      <c r="V43" s="506"/>
      <c r="W43" s="671"/>
      <c r="X43" s="672"/>
      <c r="Y43" s="672"/>
      <c r="Z43" s="672"/>
      <c r="AA43" s="672"/>
      <c r="AB43" s="672"/>
      <c r="AC43" s="672"/>
      <c r="AD43" s="673"/>
    </row>
    <row r="44" spans="3:30">
      <c r="C44" s="507"/>
      <c r="D44" s="508"/>
      <c r="E44" s="508"/>
      <c r="F44" s="508"/>
      <c r="G44" s="508"/>
      <c r="H44" s="508"/>
      <c r="I44" s="508"/>
      <c r="N44" s="508"/>
      <c r="O44" s="508"/>
      <c r="P44" s="508"/>
      <c r="Q44" s="508"/>
      <c r="R44" s="508"/>
      <c r="S44" s="508"/>
      <c r="T44" s="508"/>
      <c r="U44" s="508"/>
      <c r="V44" s="506"/>
      <c r="W44" s="660" t="s">
        <v>11</v>
      </c>
      <c r="X44" s="647"/>
      <c r="Y44" s="648"/>
      <c r="Z44" s="648"/>
      <c r="AA44" s="648"/>
      <c r="AB44" s="648"/>
      <c r="AC44" s="648"/>
      <c r="AD44" s="649"/>
    </row>
    <row r="45" spans="3:30">
      <c r="C45" s="507"/>
      <c r="D45" s="508"/>
      <c r="E45" s="508"/>
      <c r="F45" s="508"/>
      <c r="G45" s="508"/>
      <c r="H45" s="508"/>
      <c r="I45" s="508"/>
      <c r="N45" s="508"/>
      <c r="O45" s="508"/>
      <c r="P45" s="508"/>
      <c r="Q45" s="508"/>
      <c r="R45" s="508"/>
      <c r="S45" s="508"/>
      <c r="T45" s="508"/>
      <c r="U45" s="508"/>
      <c r="V45" s="506"/>
      <c r="W45" s="660" t="s">
        <v>984</v>
      </c>
      <c r="X45" s="647"/>
      <c r="Y45" s="648">
        <v>1</v>
      </c>
      <c r="Z45" s="648"/>
      <c r="AA45" s="648"/>
      <c r="AB45" s="648" t="s">
        <v>12</v>
      </c>
      <c r="AC45" s="648"/>
      <c r="AD45" s="476" t="s">
        <v>13</v>
      </c>
    </row>
    <row r="46" spans="3:30">
      <c r="C46" s="507"/>
      <c r="D46" s="508"/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  <c r="Q46" s="508"/>
      <c r="R46" s="508"/>
      <c r="S46" s="508"/>
      <c r="T46" s="508"/>
      <c r="U46" s="508"/>
      <c r="V46" s="506"/>
      <c r="W46" s="660" t="s">
        <v>15</v>
      </c>
      <c r="X46" s="647"/>
      <c r="Y46" s="661"/>
      <c r="Z46" s="661"/>
      <c r="AA46" s="661"/>
      <c r="AB46" s="648" t="s">
        <v>16</v>
      </c>
      <c r="AC46" s="648"/>
      <c r="AD46" s="509"/>
    </row>
    <row r="47" spans="3:30">
      <c r="C47" s="507"/>
      <c r="D47" s="508"/>
      <c r="E47" s="508"/>
      <c r="F47" s="508"/>
      <c r="G47" s="508"/>
      <c r="H47" s="508"/>
      <c r="I47" s="508"/>
      <c r="J47" s="508"/>
      <c r="K47" s="508"/>
      <c r="L47" s="508"/>
      <c r="M47" s="508"/>
      <c r="N47" s="508"/>
      <c r="O47" s="508"/>
      <c r="P47" s="508"/>
      <c r="Q47" s="508"/>
      <c r="R47" s="508"/>
      <c r="S47" s="508"/>
      <c r="T47" s="508"/>
      <c r="U47" s="508"/>
      <c r="V47" s="506"/>
      <c r="W47" s="654" t="s">
        <v>17</v>
      </c>
      <c r="X47" s="654"/>
      <c r="Y47" s="654"/>
      <c r="Z47" s="654"/>
      <c r="AA47" s="654"/>
      <c r="AB47" s="654"/>
      <c r="AC47" s="654"/>
      <c r="AD47" s="655"/>
    </row>
    <row r="48" spans="3:30" ht="12.75" customHeight="1">
      <c r="C48" s="507"/>
      <c r="D48" s="508"/>
      <c r="E48" s="508"/>
      <c r="F48" s="508"/>
      <c r="G48" s="508"/>
      <c r="H48" s="508"/>
      <c r="I48" s="508"/>
      <c r="J48" s="508"/>
      <c r="K48" s="508"/>
      <c r="L48" s="508"/>
      <c r="M48" s="508"/>
      <c r="R48" s="508"/>
      <c r="S48" s="508"/>
      <c r="T48" s="508"/>
      <c r="U48" s="508"/>
      <c r="V48" s="506"/>
      <c r="W48" s="656" t="s">
        <v>1627</v>
      </c>
      <c r="X48" s="656"/>
      <c r="Y48" s="656"/>
      <c r="Z48" s="656"/>
      <c r="AA48" s="656"/>
      <c r="AB48" s="656"/>
      <c r="AC48" s="656"/>
      <c r="AD48" s="657"/>
    </row>
    <row r="49" spans="3:30">
      <c r="C49" s="507"/>
      <c r="D49" s="510"/>
      <c r="E49" s="508"/>
      <c r="F49" s="508"/>
      <c r="G49" s="508"/>
      <c r="I49" s="508"/>
      <c r="J49" s="508"/>
      <c r="K49" s="508"/>
      <c r="L49" s="508"/>
      <c r="M49" s="508"/>
      <c r="R49" s="508"/>
      <c r="S49" s="508"/>
      <c r="T49" s="508"/>
      <c r="U49" s="508"/>
      <c r="V49" s="511"/>
      <c r="W49" s="656"/>
      <c r="X49" s="656"/>
      <c r="Y49" s="656"/>
      <c r="Z49" s="656"/>
      <c r="AA49" s="656"/>
      <c r="AB49" s="656"/>
      <c r="AC49" s="656"/>
      <c r="AD49" s="657"/>
    </row>
    <row r="50" spans="3:30">
      <c r="C50" s="507"/>
      <c r="D50" s="512"/>
      <c r="E50" s="512"/>
      <c r="F50" s="512"/>
      <c r="G50" s="512"/>
      <c r="I50" s="508"/>
      <c r="J50" s="508"/>
      <c r="K50" s="508"/>
      <c r="L50" s="508"/>
      <c r="M50" s="508"/>
      <c r="N50" s="508"/>
      <c r="O50" s="508"/>
      <c r="P50" s="508"/>
      <c r="Q50" s="508"/>
      <c r="R50" s="508"/>
      <c r="S50" s="508"/>
      <c r="T50" s="508"/>
      <c r="U50" s="508"/>
      <c r="V50" s="511"/>
      <c r="W50" s="656"/>
      <c r="X50" s="656"/>
      <c r="Y50" s="656"/>
      <c r="Z50" s="656"/>
      <c r="AA50" s="656"/>
      <c r="AB50" s="656"/>
      <c r="AC50" s="656"/>
      <c r="AD50" s="657"/>
    </row>
    <row r="51" spans="3:30" ht="19.5" customHeight="1">
      <c r="C51" s="507"/>
      <c r="D51" s="512"/>
      <c r="E51" s="512"/>
      <c r="F51" s="512"/>
      <c r="G51" s="512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508"/>
      <c r="T51" s="508"/>
      <c r="U51" s="508"/>
      <c r="V51" s="511"/>
      <c r="W51" s="658"/>
      <c r="X51" s="658"/>
      <c r="Y51" s="658"/>
      <c r="Z51" s="658"/>
      <c r="AA51" s="658"/>
      <c r="AB51" s="658"/>
      <c r="AC51" s="658"/>
      <c r="AD51" s="659"/>
    </row>
    <row r="52" spans="3:30">
      <c r="C52" s="507"/>
      <c r="D52" s="513"/>
      <c r="E52" s="513"/>
      <c r="F52" s="513"/>
      <c r="G52" s="513"/>
      <c r="I52" s="508"/>
      <c r="J52" s="508"/>
      <c r="K52" s="508"/>
      <c r="L52" s="423"/>
      <c r="M52" s="508"/>
      <c r="N52" s="508"/>
      <c r="O52" s="508"/>
      <c r="P52" s="508"/>
      <c r="Q52" s="508"/>
      <c r="R52" s="508"/>
      <c r="S52" s="508"/>
      <c r="T52" s="508"/>
      <c r="U52" s="508"/>
      <c r="V52" s="506"/>
      <c r="W52" s="646" t="s">
        <v>18</v>
      </c>
      <c r="X52" s="647"/>
      <c r="Y52" s="648" t="s">
        <v>1623</v>
      </c>
      <c r="Z52" s="648"/>
      <c r="AA52" s="648"/>
      <c r="AB52" s="648"/>
      <c r="AC52" s="648"/>
      <c r="AD52" s="649"/>
    </row>
    <row r="53" spans="3:30">
      <c r="C53" s="507"/>
      <c r="D53" s="512"/>
      <c r="E53" s="512"/>
      <c r="F53" s="512"/>
      <c r="G53" s="512"/>
      <c r="I53" s="508"/>
      <c r="J53" s="508"/>
      <c r="K53" s="508"/>
      <c r="L53" s="508"/>
      <c r="M53" s="508"/>
      <c r="N53" s="508"/>
      <c r="O53" s="508"/>
      <c r="P53" s="508"/>
      <c r="Q53" s="508"/>
      <c r="R53" s="508"/>
      <c r="S53" s="508"/>
      <c r="T53" s="508"/>
      <c r="V53" s="506"/>
      <c r="W53" s="646" t="s">
        <v>19</v>
      </c>
      <c r="X53" s="647"/>
      <c r="Y53" s="648" t="s">
        <v>1622</v>
      </c>
      <c r="Z53" s="648"/>
      <c r="AA53" s="648"/>
      <c r="AB53" s="648"/>
      <c r="AC53" s="648"/>
      <c r="AD53" s="649"/>
    </row>
    <row r="54" spans="3:30">
      <c r="C54" s="507"/>
      <c r="D54" s="424"/>
      <c r="E54" s="424"/>
      <c r="F54" s="424"/>
      <c r="G54" s="424"/>
      <c r="I54" s="508"/>
      <c r="J54" s="508"/>
      <c r="K54" s="508"/>
      <c r="L54" s="508"/>
      <c r="M54" s="508"/>
      <c r="N54" s="508"/>
      <c r="O54" s="508"/>
      <c r="P54" s="508"/>
      <c r="Q54" s="508"/>
      <c r="R54" s="508"/>
      <c r="S54" s="508"/>
      <c r="T54" s="508"/>
      <c r="V54" s="506"/>
      <c r="W54" s="646" t="s">
        <v>20</v>
      </c>
      <c r="X54" s="647"/>
      <c r="Y54" s="648" t="s">
        <v>1622</v>
      </c>
      <c r="Z54" s="648"/>
      <c r="AA54" s="648"/>
      <c r="AB54" s="648"/>
      <c r="AC54" s="648"/>
      <c r="AD54" s="649"/>
    </row>
    <row r="55" spans="3:30" ht="12.75" thickBot="1">
      <c r="C55" s="514"/>
      <c r="D55" s="515"/>
      <c r="E55" s="515"/>
      <c r="F55" s="515"/>
      <c r="G55" s="515"/>
      <c r="H55" s="515"/>
      <c r="I55" s="515"/>
      <c r="J55" s="515"/>
      <c r="K55" s="515"/>
      <c r="L55" s="515"/>
      <c r="M55" s="515"/>
      <c r="N55" s="515"/>
      <c r="O55" s="515"/>
      <c r="P55" s="515"/>
      <c r="Q55" s="515"/>
      <c r="R55" s="515"/>
      <c r="S55" s="515"/>
      <c r="T55" s="515"/>
      <c r="U55" s="516"/>
      <c r="V55" s="517"/>
      <c r="W55" s="650" t="s">
        <v>21</v>
      </c>
      <c r="X55" s="651"/>
      <c r="Y55" s="652" t="s">
        <v>1621</v>
      </c>
      <c r="Z55" s="652"/>
      <c r="AA55" s="652"/>
      <c r="AB55" s="652"/>
      <c r="AC55" s="652"/>
      <c r="AD55" s="653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topLeftCell="A4" zoomScale="47" zoomScaleNormal="40" zoomScaleSheetLayoutView="103" workbookViewId="0">
      <selection activeCell="AD39" sqref="AD39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7" t="s">
        <v>1619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708"/>
      <c r="X3" s="708"/>
      <c r="Y3" s="708"/>
      <c r="Z3" s="708"/>
      <c r="AA3" s="708"/>
      <c r="AB3" s="709"/>
      <c r="AC3" s="431"/>
      <c r="AD3" s="429"/>
      <c r="AE3" s="429"/>
    </row>
    <row r="4" spans="2:31" ht="13.5" customHeight="1" thickBot="1">
      <c r="B4" s="430"/>
      <c r="C4" s="710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2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opLeftCell="A3" zoomScale="43" zoomScaleNormal="130" zoomScaleSheetLayoutView="40" workbookViewId="0">
      <selection activeCell="AD41" sqref="AD41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3" t="s">
        <v>1620</v>
      </c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5"/>
      <c r="AD4" s="206"/>
      <c r="AE4" s="205"/>
      <c r="AF4" s="205"/>
    </row>
    <row r="5" spans="2:32" ht="13.5" customHeight="1" thickBot="1">
      <c r="B5" s="204"/>
      <c r="C5" s="204"/>
      <c r="D5" s="716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7"/>
      <c r="AC5" s="718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0"/>
    </row>
    <row r="76" spans="2:32" ht="15" customHeight="1">
      <c r="F76" s="461"/>
      <c r="N76" s="460"/>
    </row>
    <row r="77" spans="2:32" ht="15" customHeight="1">
      <c r="F77" s="461"/>
      <c r="N77" s="460"/>
    </row>
    <row r="78" spans="2:32" ht="15" customHeight="1">
      <c r="F78" s="461"/>
      <c r="N78" s="460"/>
    </row>
    <row r="79" spans="2:32" ht="15" customHeight="1">
      <c r="F79" s="461"/>
      <c r="N79" s="460"/>
    </row>
    <row r="80" spans="2:32" ht="15" customHeight="1">
      <c r="F80" s="461"/>
      <c r="N80" s="460"/>
    </row>
    <row r="81" spans="6:14" ht="15" customHeight="1">
      <c r="F81" s="461"/>
      <c r="N81" s="460"/>
    </row>
    <row r="82" spans="6:14" ht="15" customHeight="1">
      <c r="F82" s="461"/>
      <c r="N82" s="460"/>
    </row>
    <row r="83" spans="6:14" ht="15" customHeight="1">
      <c r="F83" s="461"/>
      <c r="N83" s="460"/>
    </row>
    <row r="84" spans="6:14" ht="15" customHeight="1">
      <c r="F84" s="461"/>
      <c r="N84" s="460"/>
    </row>
    <row r="85" spans="6:14" ht="15" customHeight="1">
      <c r="F85" s="461"/>
      <c r="N85" s="460"/>
    </row>
    <row r="86" spans="6:14" ht="15" customHeight="1">
      <c r="F86" s="461"/>
      <c r="N86" s="460"/>
    </row>
    <row r="87" spans="6:14" ht="15" customHeight="1">
      <c r="F87" s="461"/>
      <c r="N87" s="460"/>
    </row>
    <row r="88" spans="6:14" ht="15" customHeight="1">
      <c r="F88" s="461"/>
      <c r="N88" s="460"/>
    </row>
    <row r="89" spans="6:14" ht="15" customHeight="1">
      <c r="F89" s="461"/>
      <c r="N89" s="460"/>
    </row>
    <row r="90" spans="6:14" ht="15" customHeight="1">
      <c r="F90" s="461"/>
      <c r="N90" s="460"/>
    </row>
    <row r="91" spans="6:14" ht="15" customHeight="1">
      <c r="F91" s="461"/>
      <c r="N91" s="460"/>
    </row>
    <row r="92" spans="6:14" ht="15" customHeight="1">
      <c r="F92" s="461"/>
      <c r="N92" s="460"/>
    </row>
    <row r="93" spans="6:14" ht="15" customHeight="1">
      <c r="F93" s="461"/>
      <c r="N93" s="460"/>
    </row>
    <row r="94" spans="6:14" ht="15" customHeight="1">
      <c r="F94" s="461"/>
      <c r="N94" s="460"/>
    </row>
    <row r="95" spans="6:14" ht="15" customHeight="1">
      <c r="F95" s="461"/>
      <c r="N95" s="460"/>
    </row>
    <row r="96" spans="6:14" ht="15" customHeight="1">
      <c r="F96" s="461"/>
      <c r="N96" s="460"/>
    </row>
    <row r="97" spans="6:14" ht="15" customHeight="1">
      <c r="F97" s="461"/>
      <c r="N97" s="460"/>
    </row>
    <row r="98" spans="6:14" ht="15" customHeight="1">
      <c r="F98" s="461"/>
    </row>
    <row r="99" spans="6:14" ht="15" customHeight="1">
      <c r="F99" s="461"/>
    </row>
    <row r="100" spans="6:14" ht="15" customHeight="1">
      <c r="F100" s="461"/>
    </row>
    <row r="101" spans="6:14" ht="15" customHeight="1">
      <c r="F101" s="461"/>
    </row>
    <row r="102" spans="6:14" ht="15" customHeight="1">
      <c r="F102" s="461"/>
    </row>
    <row r="103" spans="6:14" ht="15" customHeight="1">
      <c r="F103" s="461"/>
    </row>
    <row r="104" spans="6:14" ht="15" customHeight="1">
      <c r="F104" s="461"/>
    </row>
    <row r="105" spans="6:14" ht="15" customHeight="1">
      <c r="F105" s="461"/>
    </row>
    <row r="106" spans="6:14" ht="15" customHeight="1">
      <c r="F106" s="461"/>
    </row>
    <row r="107" spans="6:14" ht="15" customHeight="1">
      <c r="F107" s="461"/>
    </row>
    <row r="108" spans="6:14" ht="15" customHeight="1">
      <c r="F108" s="461"/>
    </row>
    <row r="109" spans="6:14" ht="15" customHeight="1">
      <c r="F109" s="461"/>
    </row>
    <row r="110" spans="6:14" ht="15" customHeight="1">
      <c r="F110" s="461"/>
    </row>
    <row r="111" spans="6:14" ht="15" customHeight="1">
      <c r="F111" s="461"/>
    </row>
    <row r="112" spans="6:14" ht="15" customHeight="1">
      <c r="F112" s="461"/>
    </row>
    <row r="113" spans="6:6" ht="15" customHeight="1">
      <c r="F113" s="461"/>
    </row>
    <row r="114" spans="6:6" ht="15" customHeight="1">
      <c r="F114" s="461"/>
    </row>
    <row r="115" spans="6:6" ht="15" customHeight="1">
      <c r="F115" s="461"/>
    </row>
    <row r="116" spans="6:6" ht="15" customHeight="1">
      <c r="F116" s="461"/>
    </row>
    <row r="117" spans="6:6" ht="15" customHeight="1">
      <c r="F117" s="461"/>
    </row>
    <row r="118" spans="6:6" ht="15" customHeight="1">
      <c r="F118" s="461"/>
    </row>
    <row r="119" spans="6:6" ht="15" customHeight="1">
      <c r="F119" s="461"/>
    </row>
    <row r="120" spans="6:6" ht="15" customHeight="1">
      <c r="F120" s="461"/>
    </row>
    <row r="121" spans="6:6" ht="15" customHeight="1">
      <c r="F121" s="461"/>
    </row>
    <row r="122" spans="6:6">
      <c r="F122" s="461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2023-11-08T04:27:45Z</dcterms:modified>
</cp:coreProperties>
</file>