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3\10. OKTOBER 2023\50.  52554 KKO KKF ALFAMART SULURSARI 23KVA\"/>
    </mc:Choice>
  </mc:AlternateContent>
  <bookViews>
    <workbookView xWindow="-120" yWindow="-120" windowWidth="20730" windowHeight="1116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D20" i="11" l="1"/>
  <c r="H20" i="11" s="1"/>
  <c r="G20" i="11"/>
  <c r="D21" i="11"/>
  <c r="H21" i="11" s="1"/>
  <c r="E21" i="11"/>
  <c r="G21" i="11"/>
  <c r="D22" i="11"/>
  <c r="H22" i="11" s="1"/>
  <c r="G22" i="11"/>
  <c r="D43" i="11"/>
  <c r="H43" i="11" s="1"/>
  <c r="E43" i="11"/>
  <c r="G43" i="11"/>
  <c r="G6" i="11"/>
  <c r="J20" i="11" l="1"/>
  <c r="J22" i="11"/>
  <c r="I22" i="11"/>
  <c r="I20" i="11"/>
  <c r="J21" i="11"/>
  <c r="I21" i="11"/>
  <c r="J43" i="11"/>
  <c r="I43" i="11"/>
  <c r="D36" i="11"/>
  <c r="H36" i="11" s="1"/>
  <c r="E36" i="11"/>
  <c r="G36" i="11"/>
  <c r="F35" i="11"/>
  <c r="F34" i="11"/>
  <c r="F33" i="11"/>
  <c r="F32" i="11"/>
  <c r="F31" i="11"/>
  <c r="F28" i="11"/>
  <c r="F27" i="11"/>
  <c r="F26" i="11"/>
  <c r="F25" i="11"/>
  <c r="F24" i="11"/>
  <c r="D18" i="11"/>
  <c r="E18" i="11"/>
  <c r="G18" i="11"/>
  <c r="D19" i="11"/>
  <c r="J19" i="11" s="1"/>
  <c r="E19" i="11"/>
  <c r="G19" i="11"/>
  <c r="D23" i="1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E27" i="11"/>
  <c r="G27" i="11"/>
  <c r="D28" i="11"/>
  <c r="E28" i="11"/>
  <c r="G28" i="11"/>
  <c r="D29" i="11"/>
  <c r="J29" i="11" s="1"/>
  <c r="E29" i="11"/>
  <c r="G29" i="11"/>
  <c r="D30" i="11"/>
  <c r="H30" i="11" s="1"/>
  <c r="E30" i="11"/>
  <c r="G30" i="11"/>
  <c r="D31" i="11"/>
  <c r="E31" i="11"/>
  <c r="G31" i="11"/>
  <c r="D32" i="11"/>
  <c r="J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I35" i="11" s="1"/>
  <c r="E35" i="11"/>
  <c r="G35" i="11"/>
  <c r="D37" i="11"/>
  <c r="J37" i="11" s="1"/>
  <c r="E37" i="11"/>
  <c r="G37" i="11"/>
  <c r="D38" i="11"/>
  <c r="H38" i="11" s="1"/>
  <c r="E38" i="11"/>
  <c r="G38" i="11"/>
  <c r="D39" i="11"/>
  <c r="E39" i="11"/>
  <c r="G39" i="11"/>
  <c r="D40" i="11"/>
  <c r="E40" i="11"/>
  <c r="G40" i="11"/>
  <c r="D41" i="11"/>
  <c r="J41" i="11" s="1"/>
  <c r="E41" i="11"/>
  <c r="G41" i="11"/>
  <c r="D42" i="11"/>
  <c r="E42" i="11"/>
  <c r="G42" i="11"/>
  <c r="D44" i="11"/>
  <c r="H44" i="11" s="1"/>
  <c r="E44" i="11"/>
  <c r="G44" i="11"/>
  <c r="K20" i="11" l="1"/>
  <c r="K22" i="11"/>
  <c r="K21" i="11"/>
  <c r="K43" i="11"/>
  <c r="J42" i="11"/>
  <c r="I36" i="11"/>
  <c r="J36" i="11"/>
  <c r="J18" i="11"/>
  <c r="I18" i="11"/>
  <c r="I44" i="11"/>
  <c r="I27" i="11"/>
  <c r="H40" i="11"/>
  <c r="H18" i="11"/>
  <c r="I19" i="11"/>
  <c r="J28" i="11"/>
  <c r="I34" i="11"/>
  <c r="I38" i="11"/>
  <c r="I30" i="11"/>
  <c r="I40" i="11"/>
  <c r="I32" i="11"/>
  <c r="I26" i="11"/>
  <c r="J38" i="11"/>
  <c r="J34" i="11"/>
  <c r="H32" i="11"/>
  <c r="I24" i="11"/>
  <c r="I42" i="11"/>
  <c r="I37" i="11"/>
  <c r="I33" i="11"/>
  <c r="I28" i="11"/>
  <c r="J44" i="11"/>
  <c r="H42" i="11"/>
  <c r="I41" i="11"/>
  <c r="J40" i="11"/>
  <c r="J30" i="11"/>
  <c r="H28" i="11"/>
  <c r="J26" i="11"/>
  <c r="H24" i="11"/>
  <c r="I29" i="11"/>
  <c r="I25" i="11"/>
  <c r="H31" i="11"/>
  <c r="J31" i="11"/>
  <c r="I31" i="11"/>
  <c r="H27" i="11"/>
  <c r="J27" i="11"/>
  <c r="H39" i="11"/>
  <c r="J39" i="11"/>
  <c r="H23" i="11"/>
  <c r="J23" i="11"/>
  <c r="I39" i="11"/>
  <c r="H35" i="11"/>
  <c r="J35" i="11"/>
  <c r="I23" i="11"/>
  <c r="H41" i="11"/>
  <c r="H37" i="11"/>
  <c r="H33" i="11"/>
  <c r="H29" i="11"/>
  <c r="H25" i="11"/>
  <c r="H19" i="11"/>
  <c r="K36" i="11" l="1"/>
  <c r="K44" i="11"/>
  <c r="K32" i="11"/>
  <c r="K18" i="11"/>
  <c r="K26" i="11"/>
  <c r="K19" i="11"/>
  <c r="K34" i="11"/>
  <c r="K38" i="11"/>
  <c r="K30" i="11"/>
  <c r="K37" i="11"/>
  <c r="K40" i="11"/>
  <c r="K42" i="11"/>
  <c r="K28" i="11"/>
  <c r="K24" i="11"/>
  <c r="K33" i="11"/>
  <c r="K25" i="11"/>
  <c r="K41" i="11"/>
  <c r="K29" i="11"/>
  <c r="K39" i="11"/>
  <c r="K31" i="11"/>
  <c r="K23" i="11"/>
  <c r="K35" i="11"/>
  <c r="K27" i="11"/>
  <c r="W49" i="64"/>
  <c r="G15" i="11" l="1"/>
  <c r="G16" i="11"/>
  <c r="G17" i="11"/>
  <c r="G45" i="11"/>
  <c r="D15" i="11"/>
  <c r="J15" i="11" s="1"/>
  <c r="E15" i="11"/>
  <c r="D16" i="11"/>
  <c r="E16" i="11"/>
  <c r="D17" i="11"/>
  <c r="H17" i="11" s="1"/>
  <c r="E17" i="11"/>
  <c r="D45" i="11"/>
  <c r="H45" i="11" s="1"/>
  <c r="E45" i="11"/>
  <c r="D46" i="11"/>
  <c r="I46" i="11" s="1"/>
  <c r="E46" i="11"/>
  <c r="G46" i="11"/>
  <c r="I16" i="11" l="1"/>
  <c r="I15" i="11"/>
  <c r="H16" i="11"/>
  <c r="J45" i="11"/>
  <c r="J17" i="11"/>
  <c r="H15" i="11"/>
  <c r="I45" i="11"/>
  <c r="I17" i="11"/>
  <c r="J16" i="11"/>
  <c r="J46" i="11"/>
  <c r="H46" i="11"/>
  <c r="K15" i="11" l="1"/>
  <c r="K16" i="11"/>
  <c r="K17" i="11"/>
  <c r="K45" i="11"/>
  <c r="K46" i="1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K5" i="60" l="1"/>
  <c r="F3" i="54" l="1"/>
  <c r="D8" i="59" l="1"/>
  <c r="C8" i="54" l="1"/>
  <c r="D9" i="59"/>
  <c r="K7" i="54" s="1"/>
  <c r="H8" i="54" l="1"/>
  <c r="I8" i="54"/>
  <c r="H7" i="54"/>
  <c r="I7" i="54"/>
  <c r="D4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7" i="11"/>
  <c r="D48" i="11"/>
  <c r="H48" i="11" s="1"/>
  <c r="E4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4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5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8" i="11"/>
  <c r="I48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48" i="11"/>
  <c r="E236" i="29" l="1"/>
  <c r="F294" i="29"/>
  <c r="J47" i="11"/>
  <c r="K47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0" i="11"/>
  <c r="H51" i="11" s="1"/>
  <c r="I50" i="11"/>
  <c r="I51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8" i="29" l="1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52" i="11"/>
  <c r="I5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50" i="11"/>
  <c r="K51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50" i="11"/>
  <c r="J5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52" i="11"/>
  <c r="B53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851" i="41" s="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8" i="41" l="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<sst xmlns="http://schemas.openxmlformats.org/spreadsheetml/2006/main" count="4716" uniqueCount="1624">
  <si>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</si>
  <si>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</si>
  <si>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</si>
  <si>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</si>
  <si>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</si>
  <si>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</si>
  <si>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</si>
  <si>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</si>
  <si>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</si>
  <si>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</si>
  <si>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</si>
  <si>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</si>
  <si>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</si>
  <si>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</si>
  <si>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</si>
  <si>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</si>
  <si>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</si>
  <si>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</si>
  <si>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</si>
  <si>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</si>
  <si>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</si>
  <si>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</si>
  <si>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</si>
  <si>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</si>
  <si>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</si>
  <si>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</si>
  <si>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</si>
  <si>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</si>
  <si>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</si>
  <si>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</si>
  <si>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</si>
  <si>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</si>
  <si>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</si>
  <si>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</si>
  <si>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</si>
  <si>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</si>
  <si>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</si>
  <si>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</si>
  <si>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</si>
  <si>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</si>
  <si>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</si>
  <si>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</si>
  <si>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</si>
  <si>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</si>
  <si>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</si>
  <si>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</si>
  <si>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</si>
  <si>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</si>
  <si>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</si>
  <si>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</si>
  <si>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</si>
  <si>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</si>
  <si>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</si>
  <si>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</si>
  <si>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</si>
  <si>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</si>
  <si>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</si>
  <si>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</si>
  <si>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</si>
  <si>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</si>
  <si>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</si>
  <si>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</si>
  <si>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</si>
  <si>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</si>
  <si>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</si>
  <si>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</si>
  <si>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</si>
  <si>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</si>
  <si>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</si>
  <si>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</si>
  <si>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</si>
  <si>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</si>
  <si>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</si>
  <si>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</si>
  <si>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</si>
  <si>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</si>
  <si>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</si>
  <si>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</si>
  <si>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</si>
  <si>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</si>
  <si>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</si>
  <si>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</si>
  <si>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</si>
  <si>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</si>
  <si>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</si>
  <si>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</si>
  <si>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</si>
  <si>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</si>
  <si>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</si>
  <si>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</si>
  <si>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</si>
  <si>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</si>
  <si>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</si>
  <si>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</si>
  <si>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</si>
  <si>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</si>
  <si>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</si>
  <si>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</si>
  <si>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</si>
  <si>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</si>
  <si>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</si>
  <si>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</si>
  <si>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</si>
  <si>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</si>
  <si>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</si>
  <si>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</si>
  <si>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</si>
  <si>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</si>
  <si>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</si>
  <si>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</si>
  <si>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</si>
  <si>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</si>
  <si>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</si>
  <si>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</si>
  <si>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</si>
  <si>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</si>
  <si>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</si>
  <si>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</si>
  <si>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</si>
  <si>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</si>
  <si>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</si>
  <si>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</si>
  <si>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</si>
  <si>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</si>
  <si>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</si>
  <si>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</si>
  <si>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</si>
  <si>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</si>
  <si>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</si>
  <si>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</si>
  <si>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</si>
  <si>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</si>
  <si>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</si>
  <si>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</si>
  <si>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</si>
  <si>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</si>
  <si>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</si>
  <si>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</si>
  <si>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</si>
  <si>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</si>
  <si>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</si>
  <si>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</si>
  <si>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</si>
  <si>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</si>
  <si>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</si>
  <si>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</si>
  <si>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</si>
  <si>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</si>
  <si>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</si>
  <si>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</si>
  <si>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</si>
  <si>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</si>
  <si>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</si>
  <si>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</si>
  <si>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</si>
  <si>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</si>
  <si>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</si>
  <si>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</si>
  <si>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</si>
  <si>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</si>
  <si>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</si>
  <si>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</si>
  <si>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</si>
  <si>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</si>
  <si>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</si>
  <si>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</si>
  <si>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</si>
  <si>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</si>
  <si>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</si>
  <si>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</si>
  <si>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</si>
  <si>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</si>
  <si>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</si>
  <si>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</si>
  <si>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</si>
  <si>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</si>
  <si>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</si>
  <si>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</si>
  <si>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</si>
  <si>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</si>
  <si>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</si>
  <si>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</si>
  <si>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</si>
  <si>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</si>
  <si>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</si>
  <si>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</si>
  <si>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</si>
  <si>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</si>
  <si>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</si>
  <si>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</si>
  <si>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</si>
  <si>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</si>
  <si>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</si>
  <si>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</si>
  <si>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</si>
  <si>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</si>
  <si>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</si>
  <si>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</si>
  <si>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</si>
  <si>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</si>
  <si>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</si>
  <si>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</si>
  <si>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</si>
  <si>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</si>
  <si>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</si>
  <si>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</si>
  <si>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</si>
  <si>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</si>
  <si>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</si>
  <si>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</si>
  <si>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</si>
  <si>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</si>
  <si>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</si>
  <si>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</si>
  <si>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</si>
  <si>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</si>
  <si>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</si>
  <si>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</si>
  <si>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</si>
  <si>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</si>
  <si>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</si>
  <si>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</si>
  <si>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</si>
  <si>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</si>
  <si>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</si>
  <si>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</si>
  <si>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</si>
  <si>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</si>
  <si>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</si>
  <si>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</si>
  <si>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</si>
  <si>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</si>
  <si>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</si>
  <si>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</si>
  <si>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</si>
  <si>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</si>
  <si>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</si>
  <si>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</si>
  <si>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</si>
  <si>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</si>
  <si>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</si>
  <si>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</si>
  <si>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</si>
  <si>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</si>
  <si>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</si>
  <si>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</si>
  <si>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</si>
  <si>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</si>
  <si>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</si>
  <si>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</si>
  <si>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</si>
  <si>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</si>
  <si>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</si>
  <si>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</si>
  <si>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</si>
  <si>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</si>
  <si>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</si>
  <si>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</si>
  <si>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</si>
  <si>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</si>
  <si>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</si>
  <si>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</si>
  <si>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</si>
  <si>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</si>
  <si>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</si>
  <si>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</si>
  <si>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</si>
  <si>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</si>
  <si>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</si>
  <si>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</si>
  <si>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</si>
  <si>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</si>
  <si>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</si>
  <si>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</si>
  <si>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</si>
  <si>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</si>
  <si>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</si>
  <si>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</si>
  <si>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</si>
  <si>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</si>
  <si>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</si>
  <si>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</si>
  <si>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</si>
  <si>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</si>
  <si>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</si>
  <si>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</si>
  <si>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</si>
  <si>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</si>
  <si>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</si>
  <si>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</si>
  <si>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</si>
  <si>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</si>
  <si>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</si>
  <si>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</si>
  <si>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</si>
  <si>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</si>
  <si>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</si>
  <si>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</si>
  <si>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</si>
  <si>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</si>
  <si>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</si>
  <si>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</si>
  <si>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</si>
  <si>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</si>
  <si>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</si>
  <si>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</si>
  <si>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</si>
  <si>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</si>
  <si>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</si>
  <si>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</si>
  <si>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</si>
  <si>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</si>
  <si>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</si>
  <si>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</si>
  <si>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</si>
  <si>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</si>
  <si>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</si>
  <si>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</si>
  <si>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</si>
  <si>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</si>
  <si>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</si>
  <si>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</si>
  <si>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</si>
  <si>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</si>
  <si>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</si>
  <si>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</si>
  <si>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</si>
  <si>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</si>
  <si>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</si>
  <si>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</si>
  <si>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</si>
  <si>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</si>
  <si>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</si>
  <si>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</si>
  <si>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</si>
  <si>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</si>
  <si>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</si>
  <si>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</si>
  <si>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</si>
  <si>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</si>
  <si>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</si>
  <si>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</si>
  <si>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</si>
  <si>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</si>
  <si>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</si>
  <si>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</si>
  <si>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</si>
  <si>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</si>
  <si>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</si>
  <si>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</si>
  <si>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</si>
  <si>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</si>
  <si>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</si>
  <si>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</si>
  <si>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</si>
  <si>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</si>
  <si>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</si>
  <si>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</si>
  <si>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</si>
  <si>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</si>
  <si>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</si>
  <si>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</si>
  <si>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</si>
  <si>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</si>
  <si>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</si>
  <si>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</si>
  <si>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</si>
  <si>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</si>
  <si>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</si>
  <si>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</si>
  <si>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</si>
  <si>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</si>
  <si>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</si>
  <si>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</si>
  <si>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</si>
  <si>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</si>
  <si>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</si>
  <si>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</si>
  <si>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</si>
  <si>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</si>
  <si>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</si>
  <si>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</si>
  <si>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</si>
  <si>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</si>
  <si>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</si>
  <si>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</si>
  <si>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</si>
  <si>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</si>
  <si>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</si>
  <si>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</si>
  <si>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</si>
  <si>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</si>
  <si>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</si>
  <si>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</si>
  <si>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</si>
  <si>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</si>
  <si>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</si>
  <si>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</si>
  <si>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</si>
  <si>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</si>
  <si>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</si>
  <si>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</si>
  <si>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</si>
  <si>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</si>
  <si>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</si>
  <si>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</si>
  <si>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</si>
  <si>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</si>
  <si>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</si>
  <si>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</si>
  <si>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</si>
  <si>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</si>
  <si>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</si>
  <si>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</si>
  <si>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</si>
  <si>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</si>
  <si>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</si>
  <si>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</si>
  <si>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</si>
  <si>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</si>
  <si>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</si>
  <si>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</si>
  <si>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</si>
  <si>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</si>
  <si>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</si>
  <si>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</si>
  <si>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</si>
  <si>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</si>
  <si>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</si>
  <si>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</si>
  <si>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</si>
  <si>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</si>
  <si>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</si>
  <si>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</si>
  <si>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</si>
  <si>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</si>
  <si>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</si>
  <si>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</si>
  <si>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</si>
  <si>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</si>
  <si>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</si>
  <si>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</si>
  <si>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</si>
  <si>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</si>
  <si>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</si>
  <si>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</si>
  <si>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</si>
  <si>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</si>
  <si>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</si>
  <si>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</si>
  <si>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</si>
  <si>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</si>
  <si>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</si>
  <si>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</si>
  <si>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</si>
  <si>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</si>
  <si>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</si>
  <si>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</si>
  <si>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</si>
  <si>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</si>
  <si>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</si>
  <si>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</si>
  <si>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</si>
  <si>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</si>
  <si>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</si>
  <si>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</si>
  <si>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</si>
  <si>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</si>
  <si>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</si>
  <si>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</si>
  <si>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</si>
  <si>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</si>
  <si>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</si>
  <si>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</si>
  <si>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</si>
  <si>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</si>
  <si>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</si>
  <si>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</si>
  <si>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</si>
  <si>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</si>
  <si>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</si>
  <si>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</si>
  <si>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</si>
  <si>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</si>
  <si>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</si>
  <si>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</si>
  <si>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</si>
  <si>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</si>
  <si>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</si>
  <si>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</si>
  <si>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</si>
  <si>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</si>
  <si>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</si>
  <si>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</si>
  <si>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</si>
  <si>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</si>
  <si>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</si>
  <si>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</si>
  <si>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</si>
  <si>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</si>
  <si>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</si>
  <si>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</si>
  <si>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</si>
  <si>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</si>
  <si>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</si>
  <si>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</si>
  <si>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</si>
  <si>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</si>
  <si>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</si>
  <si>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</si>
  <si>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</si>
  <si>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</si>
  <si>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</si>
  <si>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</si>
  <si>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</si>
  <si>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</si>
  <si>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</si>
  <si>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</si>
  <si>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</si>
  <si>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</si>
  <si>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</si>
  <si>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</si>
  <si>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</si>
  <si>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</si>
  <si>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</si>
  <si>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</si>
  <si>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</si>
  <si>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</si>
  <si>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</si>
  <si>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</si>
  <si>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</si>
  <si>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</si>
  <si>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</si>
  <si>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</si>
  <si>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</si>
  <si>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</si>
  <si>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</si>
  <si>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</si>
  <si>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</si>
  <si>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</si>
  <si>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</si>
  <si>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</si>
  <si>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</si>
  <si>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</si>
  <si>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</si>
  <si>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</si>
  <si>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</si>
  <si>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</si>
  <si>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</si>
  <si>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</si>
  <si>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</si>
  <si>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</si>
  <si>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</si>
  <si>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</si>
  <si>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</si>
  <si>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</si>
  <si>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</si>
  <si>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</si>
  <si>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</si>
  <si>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</si>
  <si>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</si>
  <si>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</si>
  <si>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</si>
  <si>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</si>
  <si>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</si>
  <si>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</si>
  <si>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</si>
  <si>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</si>
  <si>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</si>
  <si>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</si>
  <si>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</si>
  <si>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</si>
  <si>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</si>
  <si>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</si>
  <si>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</si>
  <si>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</si>
  <si>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</si>
  <si>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</si>
  <si>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</si>
  <si>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</si>
  <si>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</si>
  <si>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</si>
  <si>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</si>
  <si>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</si>
  <si>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</si>
  <si>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</si>
  <si>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</si>
  <si>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</si>
  <si>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</si>
  <si>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</si>
  <si>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</si>
  <si>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</si>
  <si>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</si>
  <si>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</si>
  <si>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</si>
  <si>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</si>
  <si>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</si>
  <si>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</si>
  <si>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</si>
  <si>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</si>
  <si>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</si>
  <si>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</si>
  <si>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</si>
  <si>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</si>
  <si>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</si>
  <si>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</si>
  <si>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</si>
  <si>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</si>
  <si>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</si>
  <si>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</si>
  <si>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</si>
  <si>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</si>
  <si>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</si>
  <si>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</si>
  <si>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</si>
  <si>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</si>
  <si>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</si>
  <si>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</si>
  <si>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</si>
  <si>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</si>
  <si>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</si>
  <si>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</si>
  <si>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</si>
  <si>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</si>
  <si>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</si>
  <si>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</si>
  <si>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</si>
  <si>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</si>
  <si>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</si>
  <si>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</si>
  <si>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</si>
  <si>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</si>
  <si>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</si>
  <si>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</si>
  <si>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</si>
  <si>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</si>
  <si>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</si>
  <si>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</si>
  <si>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</si>
  <si>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</si>
  <si>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</si>
  <si>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</si>
  <si>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</si>
  <si>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</si>
  <si>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</si>
  <si>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</si>
  <si>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</si>
  <si>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</si>
  <si>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</si>
  <si>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</si>
  <si>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</si>
  <si>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</si>
  <si>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</si>
  <si>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</si>
  <si>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</si>
  <si>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</si>
  <si>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</si>
  <si>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</si>
  <si>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</si>
  <si>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</si>
  <si>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</si>
  <si>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</si>
  <si>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</si>
  <si>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</si>
  <si>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</si>
  <si>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</si>
  <si>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</si>
  <si>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</si>
  <si>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</si>
  <si>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</si>
  <si>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</si>
  <si>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</si>
  <si>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</si>
  <si>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</si>
  <si>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</si>
  <si>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</si>
  <si>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</si>
  <si>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</si>
  <si>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</si>
  <si>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</si>
  <si>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</si>
  <si>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</si>
  <si>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</si>
  <si>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</si>
  <si>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</si>
  <si>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</si>
  <si>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</si>
  <si>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</si>
  <si>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</si>
  <si>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</si>
  <si>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</si>
  <si>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</si>
  <si>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</si>
  <si>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</si>
  <si>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</si>
  <si>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</si>
  <si>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</si>
  <si>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</si>
  <si>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</si>
  <si>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</si>
  <si>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</si>
  <si>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</si>
  <si>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</si>
  <si>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</si>
  <si>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</si>
  <si>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</si>
  <si>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</si>
  <si>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</si>
  <si>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</si>
  <si>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</si>
  <si>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</si>
  <si>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</si>
  <si>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</si>
  <si>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</si>
  <si>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</si>
  <si>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</si>
  <si>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</si>
  <si>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</si>
  <si>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</si>
  <si>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</si>
  <si>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</si>
  <si>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</si>
  <si>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</si>
  <si>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</si>
  <si>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</si>
  <si>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</si>
  <si>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</si>
  <si>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</si>
  <si>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</si>
  <si>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</si>
  <si>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</si>
  <si>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</si>
  <si>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</si>
  <si>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</si>
  <si>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</si>
  <si>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</si>
  <si>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</si>
  <si>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</si>
  <si>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</si>
  <si>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</si>
  <si>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</si>
  <si>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</si>
  <si>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</si>
  <si>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</si>
  <si>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</si>
  <si>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</si>
  <si>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</si>
  <si>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</si>
  <si>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</si>
  <si>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</si>
  <si>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</si>
  <si>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</si>
  <si>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</si>
  <si>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</si>
  <si>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</si>
  <si>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</si>
  <si>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</si>
  <si>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</si>
  <si>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</si>
  <si>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</si>
  <si>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</si>
  <si>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</si>
  <si>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</si>
  <si>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</si>
  <si>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</si>
  <si>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</si>
  <si>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</si>
  <si>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</si>
  <si>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</si>
  <si>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</si>
  <si>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</si>
  <si>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</si>
  <si>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</si>
  <si>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</si>
  <si>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</si>
  <si>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</si>
  <si>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</si>
  <si>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</si>
  <si>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</si>
  <si>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</si>
  <si>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</si>
  <si>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</si>
  <si>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</si>
  <si>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</si>
  <si>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</si>
  <si>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</si>
  <si>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</si>
  <si>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</si>
  <si>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</si>
  <si>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</si>
  <si>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</si>
  <si>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</si>
  <si>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</si>
  <si>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</si>
  <si>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</si>
  <si>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</si>
  <si>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</si>
  <si>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</si>
  <si>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</si>
  <si>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</si>
  <si>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</si>
  <si>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</si>
  <si>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</si>
  <si>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</si>
  <si>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</si>
  <si>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</si>
  <si>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</si>
  <si>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</si>
  <si>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</si>
  <si>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</si>
  <si>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</si>
  <si>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</si>
  <si>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</si>
  <si>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</si>
  <si>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</si>
  <si>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</si>
  <si>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</si>
  <si>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</si>
  <si>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</si>
  <si>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</si>
  <si>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</si>
  <si>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</si>
  <si>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</si>
  <si>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</si>
  <si>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</si>
  <si>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</si>
  <si>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</si>
  <si>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</si>
  <si>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</si>
  <si>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</si>
  <si>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</si>
  <si>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</si>
  <si>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</si>
  <si>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</si>
  <si>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</si>
  <si>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</si>
  <si>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</si>
  <si>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</si>
  <si>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</si>
  <si>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</si>
  <si>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</si>
  <si>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</si>
  <si>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</si>
  <si>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</si>
  <si>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</si>
  <si>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</si>
  <si>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</si>
  <si>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</si>
  <si>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</si>
  <si>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</si>
  <si>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</si>
  <si>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</si>
  <si>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</si>
  <si>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</si>
  <si>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</si>
  <si>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</si>
  <si>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</si>
  <si>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</si>
  <si>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</si>
  <si>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</si>
  <si>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</si>
  <si>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</si>
  <si>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</si>
  <si>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</si>
  <si>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</si>
  <si>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</si>
  <si>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</si>
  <si>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</si>
  <si>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</si>
  <si>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</si>
  <si>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</si>
  <si>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</si>
  <si>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</si>
  <si>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</si>
  <si>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</si>
  <si>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</si>
  <si>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</si>
  <si>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</si>
  <si>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</si>
  <si>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</si>
  <si>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</si>
  <si>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</si>
  <si>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</si>
  <si>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</si>
  <si>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</si>
  <si>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</si>
  <si>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</si>
  <si>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</si>
  <si>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</si>
  <si>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</si>
  <si>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</si>
  <si>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</si>
  <si>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</si>
  <si>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</si>
  <si>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</si>
  <si>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</si>
  <si>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</si>
  <si>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</si>
  <si>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</si>
  <si>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</si>
  <si>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</si>
  <si>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</si>
  <si>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</si>
  <si>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</si>
  <si>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</si>
  <si>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</si>
  <si>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</si>
  <si>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</si>
  <si>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</si>
  <si>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</si>
  <si>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</si>
  <si>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</si>
  <si>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</si>
  <si>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</si>
  <si>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</si>
  <si>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</si>
  <si>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</si>
  <si>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</si>
  <si>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</si>
  <si>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</si>
  <si>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</si>
  <si>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</si>
  <si>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</si>
  <si>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</si>
  <si>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</si>
  <si>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</si>
  <si>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</si>
  <si>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</si>
  <si>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</si>
  <si>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</si>
  <si>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</si>
  <si>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</si>
  <si>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</si>
  <si>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</si>
  <si>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</si>
  <si>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</si>
  <si>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</si>
  <si>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</si>
  <si>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</si>
  <si>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</si>
  <si>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</si>
  <si>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</si>
  <si>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</si>
  <si>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</si>
  <si>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</si>
  <si>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</si>
  <si>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</si>
  <si>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</si>
  <si>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</si>
  <si>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</si>
  <si>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</si>
  <si>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</si>
  <si>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</si>
  <si>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</si>
  <si>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</si>
  <si>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</si>
  <si>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</si>
  <si>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</si>
  <si>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</si>
  <si>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</si>
  <si>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</si>
  <si>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</si>
  <si>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</si>
  <si>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</si>
  <si>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</si>
  <si>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</si>
  <si>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</si>
  <si>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</si>
  <si>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</si>
  <si>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</si>
  <si>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</si>
  <si>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</si>
  <si>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</si>
  <si>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</si>
  <si>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</si>
  <si>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</si>
  <si>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</si>
  <si>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</si>
  <si>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</si>
  <si>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</si>
  <si>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</si>
  <si>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</si>
  <si>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</si>
  <si>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</si>
  <si>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</si>
  <si>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</si>
  <si>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</si>
  <si>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</si>
  <si>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</si>
  <si>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</si>
  <si>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</si>
  <si>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</si>
  <si>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</si>
  <si>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</si>
  <si>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</si>
  <si>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</si>
  <si>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</si>
  <si>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</si>
  <si>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</si>
  <si>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</si>
  <si>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</si>
  <si>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</si>
  <si>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</si>
  <si>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</si>
  <si>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</si>
  <si>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</si>
  <si>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</si>
  <si>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</si>
  <si>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</si>
  <si>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</si>
  <si>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</si>
  <si>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</si>
  <si>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</si>
  <si>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</si>
  <si>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</si>
  <si>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</si>
  <si>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</si>
  <si>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</si>
  <si>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</si>
  <si>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</si>
  <si>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</si>
  <si>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</si>
  <si>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</si>
  <si>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</si>
  <si>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</si>
  <si>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</si>
  <si>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</si>
  <si>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</si>
  <si>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</si>
  <si>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</si>
  <si>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</si>
  <si>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</si>
  <si>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</si>
  <si>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</si>
  <si>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</si>
  <si>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</si>
  <si>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</si>
  <si>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</si>
  <si>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</si>
  <si>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</si>
  <si>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</si>
  <si>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</si>
  <si>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</si>
  <si>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</si>
  <si>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</si>
  <si>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</si>
  <si>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</si>
  <si>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</si>
  <si>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</si>
  <si>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</si>
  <si>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</si>
  <si>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</si>
  <si>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</si>
  <si>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</si>
  <si>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</si>
  <si>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</si>
  <si>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</si>
  <si>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</si>
  <si>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</si>
  <si>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</si>
  <si>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</si>
  <si>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</si>
  <si>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</si>
  <si>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</si>
  <si>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</si>
  <si>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</si>
  <si>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</si>
  <si>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</si>
  <si>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</si>
  <si>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</si>
  <si>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</si>
  <si>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</si>
  <si>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</si>
  <si>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</si>
  <si>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</si>
  <si>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</si>
  <si>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</si>
  <si>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</si>
  <si>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</si>
  <si>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</si>
  <si>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</si>
  <si>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</si>
  <si>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</si>
  <si>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</si>
  <si>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</si>
  <si>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</si>
  <si>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</si>
  <si>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</si>
  <si>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</si>
  <si>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</si>
  <si>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</si>
  <si>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</si>
  <si>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</si>
  <si>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</si>
  <si>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</si>
  <si>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</si>
  <si>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</si>
  <si>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</si>
  <si>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</si>
  <si>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</si>
  <si>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</si>
  <si>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</si>
  <si>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</si>
  <si>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</si>
  <si>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</si>
  <si>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</si>
  <si>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</si>
  <si>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</si>
  <si>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</si>
  <si>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</si>
  <si>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</si>
  <si>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</si>
  <si>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</si>
  <si>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</si>
  <si>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</si>
  <si>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</si>
  <si>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</si>
  <si>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</si>
  <si>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</si>
  <si>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</si>
  <si>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</si>
  <si>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</si>
  <si>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</si>
  <si>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</si>
  <si>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</si>
  <si>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</si>
  <si>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</si>
  <si>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</si>
  <si>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</si>
  <si>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</si>
  <si>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</si>
  <si>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</si>
  <si>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</si>
  <si>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</si>
  <si>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</si>
  <si>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</si>
  <si>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</si>
  <si>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</si>
  <si>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</si>
  <si>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</si>
  <si>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</si>
  <si>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</si>
  <si>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</si>
  <si>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</si>
  <si>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</si>
  <si>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</si>
  <si>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</si>
  <si>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</si>
  <si>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</si>
  <si>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</si>
  <si>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</si>
  <si>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</si>
  <si>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</si>
  <si>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</si>
  <si>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</si>
  <si>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</si>
  <si>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</si>
  <si>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</si>
  <si>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</si>
  <si>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</si>
  <si>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</si>
  <si>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</si>
  <si>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</si>
  <si>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</si>
  <si>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</si>
  <si>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</si>
  <si>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</si>
  <si>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</si>
  <si>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</si>
  <si>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</si>
  <si>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</si>
  <si>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</si>
  <si>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</si>
  <si>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</si>
  <si>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</si>
  <si>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</si>
  <si>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</si>
  <si>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</si>
  <si>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</si>
  <si>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</si>
  <si>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</si>
  <si>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</si>
  <si>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</si>
  <si>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</si>
  <si>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</si>
  <si>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</si>
  <si>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</si>
  <si>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</si>
  <si>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</si>
  <si>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</si>
  <si>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</si>
  <si>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</si>
  <si>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</si>
  <si>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</si>
  <si>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</si>
  <si>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</si>
  <si>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</si>
  <si>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</si>
  <si>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</si>
  <si>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</si>
  <si>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</si>
  <si>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</si>
  <si>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</si>
  <si>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</si>
  <si>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</si>
  <si>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</si>
  <si>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</si>
  <si>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</si>
  <si>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</si>
  <si>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</si>
  <si>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</si>
  <si>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</si>
  <si>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</si>
  <si>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</si>
  <si>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</si>
  <si>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</si>
  <si>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</si>
  <si>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</si>
  <si>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</si>
  <si>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</si>
  <si>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</si>
  <si>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</si>
  <si>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</si>
  <si>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</si>
  <si>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</si>
  <si>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</si>
  <si>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</si>
  <si>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</si>
  <si>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</si>
  <si>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</si>
  <si>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</si>
  <si>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</si>
  <si>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</si>
  <si>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</si>
  <si>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</si>
  <si>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</si>
  <si>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</si>
  <si>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</si>
  <si>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</si>
  <si>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</si>
  <si>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</si>
  <si>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</si>
  <si>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</si>
  <si>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</si>
  <si>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</si>
  <si>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</si>
  <si>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</si>
  <si>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</si>
  <si>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</si>
  <si>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</si>
  <si>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</si>
  <si>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</si>
  <si>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</si>
  <si>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</si>
  <si>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</si>
  <si>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</si>
  <si>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</si>
  <si>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</si>
  <si>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</si>
  <si>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</si>
  <si>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</si>
  <si>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</si>
  <si>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</si>
  <si>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</si>
  <si>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</si>
  <si>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</si>
  <si>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</si>
  <si>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</si>
  <si>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</si>
  <si>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</si>
  <si>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</si>
  <si>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</si>
  <si>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</si>
  <si>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</si>
  <si>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</si>
  <si>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</si>
  <si>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</si>
  <si>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</si>
  <si>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</si>
  <si>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</si>
  <si>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</si>
  <si>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</si>
  <si>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</si>
  <si>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</si>
  <si>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</si>
  <si>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</si>
  <si>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</si>
  <si>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</si>
  <si>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</si>
  <si>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</si>
  <si>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</si>
  <si>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</si>
  <si>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</si>
  <si>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</si>
  <si>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</si>
  <si>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</si>
  <si>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</si>
  <si>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</si>
  <si>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</si>
  <si>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</si>
  <si>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</si>
  <si>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</si>
  <si>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</si>
  <si>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</si>
  <si>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</si>
  <si>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</si>
  <si>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</si>
  <si>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</si>
  <si>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</si>
  <si>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</si>
  <si>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</si>
  <si>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</si>
  <si>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</si>
  <si>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</si>
  <si>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</si>
  <si>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</si>
  <si>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</si>
  <si>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</si>
  <si>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</si>
  <si>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</si>
  <si>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</si>
  <si>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</si>
  <si>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</si>
  <si>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</si>
  <si>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</si>
  <si>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</si>
  <si>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</si>
  <si>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</si>
  <si>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</si>
  <si>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</si>
  <si>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</si>
  <si>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</si>
  <si>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</si>
  <si>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</si>
  <si>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</si>
  <si>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</si>
  <si>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</si>
  <si>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</si>
  <si>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</si>
  <si>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</si>
  <si>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</si>
  <si>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</si>
  <si>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</si>
  <si>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</si>
  <si>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</si>
  <si>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</si>
  <si>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</si>
  <si>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</si>
  <si>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</si>
  <si>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</si>
  <si>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</si>
  <si>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</si>
  <si>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</si>
  <si>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</si>
  <si>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</si>
  <si>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</si>
  <si>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</si>
  <si>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</si>
  <si>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</si>
  <si>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</si>
  <si>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</si>
  <si>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</si>
  <si>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</si>
  <si>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</si>
  <si>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</si>
  <si>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</si>
  <si>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</si>
  <si>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</si>
  <si>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</si>
  <si>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</si>
  <si>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</si>
  <si>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</si>
  <si>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</si>
  <si>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</si>
  <si>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</si>
  <si>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</si>
  <si>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</si>
  <si>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</si>
  <si>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</si>
  <si>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</si>
  <si>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</si>
  <si>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</si>
  <si>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</si>
  <si>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</si>
  <si>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</si>
  <si>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</si>
  <si>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</si>
  <si>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</si>
  <si>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</si>
  <si>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</si>
  <si>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</si>
  <si>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</si>
  <si>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</si>
  <si>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</si>
  <si>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</si>
  <si>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</si>
  <si>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</si>
  <si>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</si>
  <si>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</si>
  <si>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</si>
  <si>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</si>
  <si>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</si>
  <si>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</si>
  <si>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</si>
  <si>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</si>
  <si>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</si>
  <si>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</si>
  <si>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</si>
  <si>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</si>
  <si>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</si>
  <si>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</si>
  <si>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</si>
  <si>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</si>
  <si>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</si>
  <si>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</si>
  <si>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</si>
  <si>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</si>
  <si>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</si>
  <si>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</si>
  <si>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</si>
  <si>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</si>
  <si>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</si>
  <si>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</si>
  <si>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</si>
  <si>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</si>
  <si>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</si>
  <si>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</si>
  <si>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</si>
  <si>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</si>
  <si>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</si>
  <si>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</si>
  <si>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</si>
  <si>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</si>
  <si>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</si>
  <si>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</si>
  <si>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</si>
  <si>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</si>
  <si>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</si>
  <si>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</si>
  <si>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</si>
  <si>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</si>
  <si>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</si>
  <si>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</si>
  <si>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</si>
  <si>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</si>
  <si>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</si>
  <si>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</si>
  <si>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</si>
  <si>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</si>
  <si>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</si>
  <si>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</si>
  <si>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</si>
  <si>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</si>
  <si>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</si>
  <si>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</si>
  <si>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</si>
  <si>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</si>
  <si>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</si>
  <si>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</si>
  <si>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</si>
  <si>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</si>
  <si>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</si>
  <si>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</si>
  <si>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</si>
  <si>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</si>
  <si>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</si>
  <si>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</si>
  <si>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</si>
  <si>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</si>
  <si>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</si>
  <si>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</si>
  <si>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</si>
  <si>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</si>
  <si>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</si>
  <si>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</si>
  <si>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</si>
  <si>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</si>
  <si>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</si>
  <si>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</si>
  <si>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</si>
  <si>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</si>
  <si>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</si>
  <si>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</si>
  <si>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</si>
  <si>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</si>
  <si>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</si>
  <si>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</si>
  <si>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</si>
  <si>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</si>
  <si>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</si>
  <si>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</si>
  <si>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</si>
  <si>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</si>
  <si>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</si>
  <si>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</si>
  <si>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</si>
  <si>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</si>
  <si>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</si>
  <si>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</si>
  <si>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</si>
  <si>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</si>
  <si>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</si>
  <si>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</si>
  <si>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</si>
  <si>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</si>
  <si>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</si>
  <si>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</si>
  <si>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</si>
  <si>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</si>
  <si>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</si>
  <si>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</si>
  <si>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</si>
  <si>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</si>
  <si>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</si>
  <si>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</si>
  <si>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</si>
  <si>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</si>
  <si>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</si>
  <si>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</si>
  <si>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</si>
  <si>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</si>
  <si>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</si>
  <si>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</si>
  <si>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</si>
  <si>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</si>
  <si>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</si>
  <si>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</si>
  <si>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</si>
  <si>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</si>
  <si>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</si>
  <si>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</si>
  <si>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</si>
  <si>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</si>
  <si>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</si>
  <si>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</si>
  <si>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</si>
  <si>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</si>
  <si>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</si>
  <si>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</si>
  <si>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</si>
  <si>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</si>
  <si>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</si>
  <si>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</si>
  <si>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</si>
  <si>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</si>
  <si>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</si>
  <si>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</si>
  <si>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</si>
  <si>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</si>
  <si>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</si>
  <si>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</si>
  <si>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</si>
  <si>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</si>
  <si>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</si>
  <si>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</si>
  <si>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</si>
  <si>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</si>
  <si>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</si>
  <si>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</si>
  <si>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</si>
  <si>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</si>
  <si>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</si>
  <si>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</si>
  <si>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</si>
  <si>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</si>
  <si>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</si>
  <si>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</si>
  <si>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</si>
  <si>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</si>
  <si>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</si>
  <si>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</si>
  <si>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</si>
  <si>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</si>
  <si>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</si>
  <si>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</si>
  <si>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</si>
  <si>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</si>
  <si>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</si>
  <si>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</si>
  <si>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</si>
  <si>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</si>
  <si>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</si>
  <si>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</si>
  <si>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</si>
  <si>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</si>
  <si>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</si>
  <si>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</si>
  <si>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</si>
  <si>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</si>
  <si>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</si>
  <si>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</si>
  <si>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</si>
  <si>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</si>
  <si>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</si>
  <si>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</si>
  <si>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</si>
  <si>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</si>
  <si>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</si>
  <si>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</si>
  <si>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</si>
  <si>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</si>
  <si>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</si>
  <si>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</si>
  <si>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</si>
  <si>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</si>
  <si>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</si>
  <si>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</si>
  <si>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</si>
  <si>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</si>
  <si>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</si>
  <si>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SUCIPTO ARIEF WIBOWO</t>
  </si>
  <si>
    <t>PEKERJAAN PEMASANGAN JTR</t>
  </si>
  <si>
    <t>CJ6-T</t>
  </si>
  <si>
    <t>CJ5-T</t>
  </si>
  <si>
    <t>PEKERJAAN PEMASANGAN APP</t>
  </si>
  <si>
    <t>B2T</t>
  </si>
  <si>
    <t xml:space="preserve">KOORDINAT : </t>
  </si>
  <si>
    <t>ALFAMART SULUR</t>
  </si>
  <si>
    <t>K2-370/388</t>
  </si>
  <si>
    <t>PWI 7</t>
  </si>
  <si>
    <t>SULURSARI 2/5</t>
  </si>
  <si>
    <t>Daya 23.000 VA</t>
  </si>
  <si>
    <t>SURVEY KAMIS 12 OKT 2023</t>
  </si>
  <si>
    <t>Wirosari,  Oktober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</si>
</sst>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8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68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9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3" fillId="0" borderId="0" applyFont="0" applyFill="0" applyBorder="0" applyAlignment="0" applyProtection="0"/>
    <xf numFmtId="18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204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4" fontId="32" fillId="0" borderId="3"/>
    <xf numFmtId="184" fontId="18" fillId="0" borderId="3"/>
    <xf numFmtId="42" fontId="19" fillId="0" borderId="0" applyFont="0" applyFill="0" applyBorder="0" applyAlignment="0" applyProtection="0"/>
    <xf numFmtId="42" fontId="44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66" fillId="0" borderId="0" applyFont="0" applyFill="0" applyBorder="0" applyAlignment="0" applyProtection="0"/>
    <xf numFmtId="186" fontId="68" fillId="0" borderId="0">
      <protection locked="0"/>
    </xf>
    <xf numFmtId="14" fontId="60" fillId="0" borderId="0" applyFill="0" applyBorder="0" applyAlignment="0"/>
    <xf numFmtId="187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5" fontId="32" fillId="0" borderId="0" applyFill="0" applyBorder="0" applyAlignment="0"/>
    <xf numFmtId="175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88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89" fontId="73" fillId="0" borderId="0">
      <protection locked="0"/>
    </xf>
    <xf numFmtId="189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5" fontId="32" fillId="0" borderId="0" applyFill="0" applyBorder="0" applyAlignment="0"/>
    <xf numFmtId="175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0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1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1" fontId="32" fillId="0" borderId="0"/>
    <xf numFmtId="191" fontId="18" fillId="0" borderId="0"/>
    <xf numFmtId="191" fontId="32" fillId="0" borderId="0"/>
    <xf numFmtId="191" fontId="18" fillId="0" borderId="0"/>
    <xf numFmtId="191" fontId="32" fillId="0" borderId="0"/>
    <xf numFmtId="191" fontId="18" fillId="0" borderId="0"/>
    <xf numFmtId="191" fontId="18" fillId="0" borderId="0"/>
    <xf numFmtId="191" fontId="32" fillId="0" borderId="0"/>
    <xf numFmtId="170" fontId="79" fillId="0" borderId="0"/>
    <xf numFmtId="170" fontId="80" fillId="0" borderId="0"/>
    <xf numFmtId="170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2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0" fontId="80" fillId="0" borderId="0"/>
    <xf numFmtId="0" fontId="80" fillId="0" borderId="0"/>
    <xf numFmtId="193" fontId="80" fillId="0" borderId="0"/>
    <xf numFmtId="194" fontId="80" fillId="0" borderId="0"/>
    <xf numFmtId="0" fontId="80" fillId="0" borderId="0"/>
    <xf numFmtId="195" fontId="80" fillId="0" borderId="0"/>
    <xf numFmtId="195" fontId="80" fillId="0" borderId="0"/>
    <xf numFmtId="195" fontId="80" fillId="0" borderId="0"/>
    <xf numFmtId="193" fontId="80" fillId="0" borderId="0"/>
    <xf numFmtId="0" fontId="80" fillId="0" borderId="0"/>
    <xf numFmtId="0" fontId="32" fillId="0" borderId="0"/>
    <xf numFmtId="0" fontId="18" fillId="0" borderId="0"/>
    <xf numFmtId="180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6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5" fontId="80" fillId="0" borderId="0"/>
    <xf numFmtId="195" fontId="80" fillId="0" borderId="0"/>
    <xf numFmtId="195" fontId="80" fillId="0" borderId="0"/>
    <xf numFmtId="195" fontId="80" fillId="0" borderId="0"/>
    <xf numFmtId="197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2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2" fontId="39" fillId="0" borderId="0"/>
    <xf numFmtId="192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4" fontId="32" fillId="0" borderId="0" applyFont="0" applyFill="0" applyBorder="0" applyAlignment="0" applyProtection="0"/>
    <xf numFmtId="174" fontId="18" fillId="0" borderId="0" applyFont="0" applyFill="0" applyBorder="0" applyAlignment="0" applyProtection="0"/>
    <xf numFmtId="198" fontId="32" fillId="0" borderId="0" applyFont="0" applyFill="0" applyBorder="0" applyAlignment="0" applyProtection="0"/>
    <xf numFmtId="198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5" fontId="32" fillId="0" borderId="0" applyFill="0" applyBorder="0" applyAlignment="0"/>
    <xf numFmtId="175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0" fontId="70" fillId="0" borderId="0"/>
    <xf numFmtId="199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0" fontId="32" fillId="0" borderId="0" applyFill="0" applyBorder="0" applyAlignment="0"/>
    <xf numFmtId="200" fontId="18" fillId="0" borderId="0" applyFill="0" applyBorder="0" applyAlignment="0"/>
    <xf numFmtId="201" fontId="32" fillId="0" borderId="0" applyFill="0" applyBorder="0" applyAlignment="0"/>
    <xf numFmtId="201" fontId="18" fillId="0" borderId="0" applyFill="0" applyBorder="0" applyAlignment="0"/>
    <xf numFmtId="202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164" fontId="18" fillId="0" borderId="0" applyFont="0" applyFill="0" applyBorder="0" applyAlignment="0" applyProtection="0"/>
    <xf numFmtId="9" fontId="159" fillId="0" borderId="0" applyFont="0" applyFill="0" applyBorder="0" applyAlignment="0" applyProtection="0"/>
    <xf numFmtId="164" fontId="171" fillId="0" borderId="0" applyFont="0" applyFill="0" applyBorder="0" applyAlignment="0" applyProtection="0"/>
    <xf numFmtId="0" fontId="18" fillId="0" borderId="0"/>
    <xf numFmtId="0" fontId="173" fillId="0" borderId="0" applyNumberFormat="0" applyFill="0" applyBorder="0" applyAlignment="0" applyProtection="0"/>
  </cellStyleXfs>
  <cellXfs count="702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41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41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41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43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7" fontId="41" fillId="0" borderId="0" xfId="714" applyFont="1" applyFill="1" applyAlignment="1">
      <alignment horizontal="center" wrapText="1"/>
    </xf>
    <xf numFmtId="167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7" fontId="41" fillId="0" borderId="21" xfId="715" applyNumberFormat="1" applyFont="1" applyFill="1" applyBorder="1" applyAlignment="1">
      <alignment horizontal="center" vertical="center" wrapText="1"/>
    </xf>
    <xf numFmtId="167" fontId="41" fillId="0" borderId="21" xfId="714" applyFont="1" applyFill="1" applyBorder="1" applyAlignment="1">
      <alignment horizontal="center" vertical="center" wrapText="1"/>
    </xf>
    <xf numFmtId="167" fontId="41" fillId="0" borderId="33" xfId="714" applyFont="1" applyFill="1" applyBorder="1" applyAlignment="1">
      <alignment horizontal="center" vertical="center" wrapText="1"/>
    </xf>
    <xf numFmtId="43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43" fontId="40" fillId="0" borderId="0" xfId="1615" applyNumberFormat="1" applyFont="1" applyAlignment="1">
      <alignment horizontal="left" vertical="center"/>
    </xf>
    <xf numFmtId="43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5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41" fontId="92" fillId="0" borderId="0" xfId="1448" applyNumberFormat="1" applyFont="1" applyAlignment="1">
      <alignment wrapText="1"/>
    </xf>
    <xf numFmtId="41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7" fontId="41" fillId="0" borderId="21" xfId="717" applyNumberFormat="1" applyFont="1" applyFill="1" applyBorder="1" applyAlignment="1" applyProtection="1">
      <alignment horizontal="center" vertical="center" wrapText="1"/>
    </xf>
    <xf numFmtId="41" fontId="41" fillId="0" borderId="21" xfId="1451" applyNumberFormat="1" applyFont="1" applyBorder="1" applyAlignment="1">
      <alignment horizontal="center" vertical="center" wrapText="1"/>
    </xf>
    <xf numFmtId="167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7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7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7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43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2" fillId="33" borderId="0" xfId="0" applyFont="1" applyFill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89" fillId="33" borderId="68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6" fillId="33" borderId="69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6" fillId="33" borderId="7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2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vertical="top" wrapText="1"/>
    </xf>
    <xf numFmtId="0" fontId="112" fillId="33" borderId="37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vertical="top" wrapText="1"/>
    </xf>
    <xf numFmtId="0" fontId="112" fillId="33" borderId="44" xfId="0" applyFont="1" applyFill="1" applyBorder="1" applyAlignment="1">
      <alignment vertical="top" wrapText="1"/>
    </xf>
    <xf numFmtId="0" fontId="112" fillId="33" borderId="45" xfId="0" applyFont="1" applyFill="1" applyBorder="1" applyAlignment="1">
      <alignment vertical="top" wrapText="1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2" fillId="33" borderId="39" xfId="0" applyFont="1" applyFill="1" applyBorder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 vertical="center" wrapText="1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41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43" fontId="142" fillId="36" borderId="0" xfId="2672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7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9" fillId="0" borderId="0" xfId="1538"/>
    <xf numFmtId="43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43" fontId="0" fillId="0" borderId="3" xfId="1026" applyFont="1" applyFill="1" applyBorder="1" applyProtection="1"/>
    <xf numFmtId="43" fontId="109" fillId="0" borderId="3" xfId="1538" applyNumberFormat="1" applyBorder="1"/>
    <xf numFmtId="43" fontId="137" fillId="0" borderId="3" xfId="1026" applyFont="1" applyBorder="1" applyProtection="1"/>
    <xf numFmtId="43" fontId="0" fillId="0" borderId="3" xfId="1026" applyFont="1" applyBorder="1" applyProtection="1"/>
    <xf numFmtId="43" fontId="125" fillId="0" borderId="3" xfId="1538" applyNumberFormat="1" applyFont="1" applyBorder="1"/>
    <xf numFmtId="0" fontId="58" fillId="0" borderId="3" xfId="1538" applyFont="1" applyBorder="1"/>
    <xf numFmtId="41" fontId="109" fillId="0" borderId="3" xfId="1538" applyNumberFormat="1" applyBorder="1"/>
    <xf numFmtId="43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43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43" fontId="46" fillId="0" borderId="0" xfId="1538" applyNumberFormat="1" applyFont="1"/>
    <xf numFmtId="0" fontId="109" fillId="29" borderId="3" xfId="1538" applyFill="1" applyBorder="1"/>
    <xf numFmtId="167" fontId="109" fillId="29" borderId="3" xfId="1538" applyNumberFormat="1" applyFill="1" applyBorder="1" applyAlignment="1">
      <alignment horizontal="right"/>
    </xf>
    <xf numFmtId="165" fontId="109" fillId="0" borderId="0" xfId="1538" applyNumberFormat="1"/>
    <xf numFmtId="43" fontId="109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43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9" fillId="0" borderId="21" xfId="1653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5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3" fontId="147" fillId="0" borderId="39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41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83" xfId="2670" applyFont="1" applyFill="1" applyBorder="1" applyAlignment="1">
      <alignment horizontal="left" vertical="center"/>
    </xf>
    <xf numFmtId="0" fontId="157" fillId="39" borderId="84" xfId="2670" applyFont="1" applyFill="1" applyBorder="1" applyAlignment="1">
      <alignment horizontal="center" vertical="center"/>
    </xf>
    <xf numFmtId="0" fontId="157" fillId="39" borderId="86" xfId="2670" applyFont="1" applyFill="1" applyBorder="1" applyAlignment="1">
      <alignment horizontal="left" vertical="center"/>
    </xf>
    <xf numFmtId="0" fontId="157" fillId="39" borderId="82" xfId="2670" applyFont="1" applyFill="1" applyBorder="1" applyAlignment="1">
      <alignment horizontal="center" vertical="center"/>
    </xf>
    <xf numFmtId="0" fontId="157" fillId="39" borderId="88" xfId="2670" applyFont="1" applyFill="1" applyBorder="1" applyAlignment="1">
      <alignment horizontal="left" vertical="center"/>
    </xf>
    <xf numFmtId="0" fontId="157" fillId="39" borderId="89" xfId="2670" applyFont="1" applyFill="1" applyBorder="1" applyAlignment="1">
      <alignment horizontal="center" vertical="center"/>
    </xf>
    <xf numFmtId="43" fontId="138" fillId="40" borderId="85" xfId="2672" applyFont="1" applyFill="1" applyBorder="1" applyAlignment="1" applyProtection="1">
      <alignment horizontal="right" vertical="center" wrapText="1"/>
      <protection locked="0"/>
    </xf>
    <xf numFmtId="43" fontId="138" fillId="40" borderId="87" xfId="2672" applyFont="1" applyFill="1" applyBorder="1" applyAlignment="1" applyProtection="1">
      <alignment horizontal="right" vertical="center"/>
      <protection locked="0"/>
    </xf>
    <xf numFmtId="167" fontId="138" fillId="40" borderId="87" xfId="2672" applyNumberFormat="1" applyFont="1" applyFill="1" applyBorder="1" applyAlignment="1" applyProtection="1">
      <alignment horizontal="right" vertical="center"/>
      <protection locked="0"/>
    </xf>
    <xf numFmtId="167" fontId="138" fillId="40" borderId="90" xfId="2672" applyNumberFormat="1" applyFont="1" applyFill="1" applyBorder="1" applyAlignment="1" applyProtection="1">
      <alignment horizontal="right" vertical="center"/>
      <protection locked="0"/>
    </xf>
    <xf numFmtId="0" fontId="118" fillId="0" borderId="0" xfId="1451" applyFont="1"/>
    <xf numFmtId="0" fontId="119" fillId="0" borderId="0" xfId="1451" applyFont="1" applyAlignment="1">
      <alignment vertical="center"/>
    </xf>
    <xf numFmtId="0" fontId="145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20" fillId="35" borderId="0" xfId="1451" applyFont="1" applyFill="1" applyAlignment="1">
      <alignment vertical="center"/>
    </xf>
    <xf numFmtId="0" fontId="123" fillId="0" borderId="19" xfId="1451" applyFont="1" applyBorder="1" applyAlignment="1">
      <alignment horizontal="center"/>
    </xf>
    <xf numFmtId="0" fontId="123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1" fillId="0" borderId="0" xfId="2673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63" fillId="0" borderId="0" xfId="2673" applyFont="1" applyAlignment="1">
      <alignment vertical="center" wrapText="1"/>
    </xf>
    <xf numFmtId="0" fontId="144" fillId="35" borderId="94" xfId="2673" applyFont="1" applyFill="1" applyBorder="1" applyAlignment="1">
      <alignment vertical="center" wrapText="1"/>
    </xf>
    <xf numFmtId="0" fontId="144" fillId="43" borderId="94" xfId="2673" applyFont="1" applyFill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8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2" fontId="168" fillId="0" borderId="0" xfId="2673" applyNumberFormat="1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8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49" fontId="89" fillId="33" borderId="60" xfId="0" applyNumberFormat="1" applyFont="1" applyFill="1" applyBorder="1" applyAlignment="1">
      <alignment horizontal="left" vertical="center" wrapText="1"/>
    </xf>
    <xf numFmtId="49" fontId="89" fillId="33" borderId="61" xfId="0" applyNumberFormat="1" applyFont="1" applyFill="1" applyBorder="1" applyAlignment="1">
      <alignment horizontal="left" vertical="center"/>
    </xf>
    <xf numFmtId="164" fontId="150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5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0" fontId="113" fillId="33" borderId="0" xfId="0" applyFont="1" applyFill="1" applyAlignment="1">
      <alignment horizontal="left"/>
    </xf>
    <xf numFmtId="167" fontId="142" fillId="46" borderId="0" xfId="2672" applyNumberFormat="1" applyFont="1" applyFill="1" applyBorder="1" applyAlignment="1" applyProtection="1">
      <alignment horizontal="right" vertical="center"/>
    </xf>
    <xf numFmtId="0" fontId="172" fillId="0" borderId="69" xfId="1450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7" fillId="0" borderId="99" xfId="1450" applyFont="1" applyBorder="1" applyAlignment="1">
      <alignment horizontal="center" vertical="center"/>
    </xf>
    <xf numFmtId="0" fontId="173" fillId="33" borderId="0" xfId="2678" applyFill="1"/>
    <xf numFmtId="0" fontId="41" fillId="0" borderId="21" xfId="1451" applyFont="1" applyFill="1" applyBorder="1" applyAlignment="1">
      <alignment horizontal="left" vertical="center" wrapText="1"/>
    </xf>
    <xf numFmtId="0" fontId="112" fillId="33" borderId="0" xfId="0" applyFont="1" applyFill="1" applyAlignment="1">
      <alignment vertical="center" wrapText="1"/>
    </xf>
    <xf numFmtId="0" fontId="112" fillId="33" borderId="37" xfId="0" applyFont="1" applyFill="1" applyBorder="1" applyAlignment="1">
      <alignment vertical="center" wrapText="1"/>
    </xf>
    <xf numFmtId="0" fontId="112" fillId="33" borderId="44" xfId="0" applyFont="1" applyFill="1" applyBorder="1" applyAlignment="1">
      <alignment vertical="center" wrapText="1"/>
    </xf>
    <xf numFmtId="0" fontId="112" fillId="33" borderId="45" xfId="0" applyFont="1" applyFill="1" applyBorder="1" applyAlignment="1">
      <alignment vertical="center" wrapText="1"/>
    </xf>
    <xf numFmtId="0" fontId="112" fillId="33" borderId="18" xfId="0" applyFont="1" applyFill="1" applyBorder="1" applyAlignment="1">
      <alignment vertical="center" wrapText="1"/>
    </xf>
    <xf numFmtId="0" fontId="112" fillId="33" borderId="43" xfId="0" applyFont="1" applyFill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40" fillId="0" borderId="21" xfId="1615" applyNumberFormat="1" applyFont="1" applyFill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0" fillId="0" borderId="20" xfId="1615" applyFont="1" applyFill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7" fillId="0" borderId="21" xfId="1614" applyFont="1" applyFill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7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96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7" xfId="2673" applyBorder="1" applyAlignment="1">
      <alignment horizontal="center" vertical="center" wrapText="1"/>
    </xf>
    <xf numFmtId="9" fontId="168" fillId="0" borderId="0" xfId="2675" applyFont="1" applyFill="1" applyBorder="1" applyAlignment="1">
      <alignment horizontal="center" vertical="center" wrapText="1"/>
    </xf>
    <xf numFmtId="0" fontId="165" fillId="37" borderId="0" xfId="2673" applyFont="1" applyFill="1" applyAlignment="1">
      <alignment horizontal="left" vertical="center" wrapText="1"/>
    </xf>
    <xf numFmtId="165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5" xfId="2673" applyNumberFormat="1" applyFont="1" applyFill="1" applyBorder="1" applyAlignment="1">
      <alignment horizontal="center" vertical="center" wrapText="1"/>
    </xf>
    <xf numFmtId="0" fontId="161" fillId="41" borderId="91" xfId="2673" applyFont="1" applyFill="1" applyBorder="1" applyAlignment="1">
      <alignment horizontal="center" vertical="center" wrapText="1"/>
    </xf>
    <xf numFmtId="0" fontId="161" fillId="41" borderId="92" xfId="2673" applyFont="1" applyFill="1" applyBorder="1" applyAlignment="1">
      <alignment horizontal="center" vertical="center" wrapText="1"/>
    </xf>
    <xf numFmtId="0" fontId="161" fillId="41" borderId="93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165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4" fillId="0" borderId="50" xfId="2673" applyFont="1" applyBorder="1" applyAlignment="1">
      <alignment horizontal="center" vertical="center" wrapText="1"/>
    </xf>
    <xf numFmtId="0" fontId="164" fillId="0" borderId="58" xfId="2673" applyFont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4" borderId="3" xfId="2673" applyNumberFormat="1" applyFont="1" applyFill="1" applyBorder="1" applyAlignment="1">
      <alignment horizontal="center" vertical="center" wrapText="1"/>
    </xf>
    <xf numFmtId="2" fontId="132" fillId="44" borderId="39" xfId="2673" applyNumberFormat="1" applyFont="1" applyFill="1" applyBorder="1" applyAlignment="1">
      <alignment horizontal="center" vertical="center" wrapText="1"/>
    </xf>
    <xf numFmtId="0" fontId="161" fillId="42" borderId="91" xfId="2673" applyFont="1" applyFill="1" applyBorder="1" applyAlignment="1">
      <alignment horizontal="center" vertical="center" wrapText="1"/>
    </xf>
    <xf numFmtId="0" fontId="161" fillId="42" borderId="92" xfId="2673" applyFont="1" applyFill="1" applyBorder="1" applyAlignment="1">
      <alignment horizontal="center" vertical="center" wrapText="1"/>
    </xf>
    <xf numFmtId="0" fontId="161" fillId="42" borderId="93" xfId="2673" applyFont="1" applyFill="1" applyBorder="1" applyAlignment="1">
      <alignment horizontal="center" vertical="center" wrapText="1"/>
    </xf>
    <xf numFmtId="165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2" xfId="2673" applyNumberFormat="1" applyFont="1" applyFill="1" applyBorder="1" applyAlignment="1">
      <alignment horizontal="center" vertical="center" wrapText="1"/>
    </xf>
    <xf numFmtId="2" fontId="132" fillId="43" borderId="95" xfId="2673" applyNumberFormat="1" applyFont="1" applyFill="1" applyBorder="1" applyAlignment="1">
      <alignment horizontal="center" vertical="center" wrapText="1"/>
    </xf>
    <xf numFmtId="0" fontId="6" fillId="34" borderId="77" xfId="2670" applyFill="1" applyBorder="1" applyAlignment="1">
      <alignment horizontal="center" vertical="center"/>
    </xf>
    <xf numFmtId="0" fontId="136" fillId="0" borderId="7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43" fontId="151" fillId="0" borderId="0" xfId="1614" applyNumberFormat="1" applyFont="1" applyAlignment="1">
      <alignment horizontal="left" vertical="top" wrapText="1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70" fillId="0" borderId="26" xfId="1614" applyFont="1" applyBorder="1" applyAlignment="1">
      <alignment horizontal="left" vertical="center" wrapText="1"/>
    </xf>
    <xf numFmtId="0" fontId="170" fillId="0" borderId="36" xfId="1614" applyFont="1" applyBorder="1" applyAlignment="1">
      <alignment horizontal="left" vertical="center" wrapText="1"/>
    </xf>
    <xf numFmtId="0" fontId="170" fillId="0" borderId="48" xfId="1614" applyFont="1" applyBorder="1" applyAlignment="1">
      <alignment horizontal="left" vertical="center" wrapText="1"/>
    </xf>
    <xf numFmtId="0" fontId="170" fillId="0" borderId="28" xfId="1614" applyFont="1" applyBorder="1" applyAlignment="1">
      <alignment horizontal="left" vertical="center" wrapText="1"/>
    </xf>
    <xf numFmtId="0" fontId="170" fillId="0" borderId="0" xfId="1614" applyFont="1" applyAlignment="1">
      <alignment horizontal="left" vertical="center" wrapText="1"/>
    </xf>
    <xf numFmtId="0" fontId="170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206" fontId="117" fillId="0" borderId="73" xfId="1450" applyNumberFormat="1" applyFont="1" applyBorder="1" applyAlignment="1">
      <alignment horizontal="left" vertical="center"/>
    </xf>
    <xf numFmtId="206" fontId="172" fillId="0" borderId="74" xfId="1450" applyNumberFormat="1" applyFont="1" applyBorder="1" applyAlignment="1">
      <alignment horizontal="left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49" fontId="112" fillId="33" borderId="50" xfId="0" applyNumberFormat="1" applyFont="1" applyFill="1" applyBorder="1" applyAlignment="1">
      <alignment horizontal="center" vertical="center"/>
    </xf>
    <xf numFmtId="49" fontId="112" fillId="33" borderId="41" xfId="0" applyNumberFormat="1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79" xfId="0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0" fontId="89" fillId="33" borderId="80" xfId="0" applyFont="1" applyFill="1" applyBorder="1" applyAlignment="1">
      <alignment horizontal="center" vertical="center"/>
    </xf>
    <xf numFmtId="0" fontId="89" fillId="33" borderId="81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center" vertical="center"/>
    </xf>
    <xf numFmtId="0" fontId="116" fillId="33" borderId="74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89" fillId="33" borderId="61" xfId="0" applyFont="1" applyFill="1" applyBorder="1" applyAlignment="1">
      <alignment horizontal="left" vertical="center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15" fontId="112" fillId="33" borderId="3" xfId="0" applyNumberFormat="1" applyFont="1" applyFill="1" applyBorder="1" applyAlignment="1">
      <alignment horizontal="center"/>
    </xf>
    <xf numFmtId="0" fontId="89" fillId="33" borderId="59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7" fillId="33" borderId="75" xfId="0" applyFont="1" applyFill="1" applyBorder="1" applyAlignment="1">
      <alignment horizontal="center" vertical="center" wrapText="1"/>
    </xf>
    <xf numFmtId="0" fontId="117" fillId="33" borderId="76" xfId="0" applyFont="1" applyFill="1" applyBorder="1" applyAlignment="1">
      <alignment horizontal="center" vertical="center" wrapText="1"/>
    </xf>
    <xf numFmtId="0" fontId="113" fillId="33" borderId="18" xfId="0" applyFont="1" applyFill="1" applyBorder="1" applyAlignment="1">
      <alignment horizontal="left" vertical="top" wrapText="1"/>
    </xf>
    <xf numFmtId="0" fontId="113" fillId="33" borderId="0" xfId="0" applyFont="1" applyFill="1" applyAlignment="1">
      <alignment horizontal="left" vertical="top" wrapText="1"/>
    </xf>
    <xf numFmtId="0" fontId="112" fillId="33" borderId="64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2" fillId="33" borderId="18" xfId="0" applyFont="1" applyFill="1" applyBorder="1" applyAlignment="1">
      <alignment horizontal="center" vertical="center" wrapText="1"/>
    </xf>
    <xf numFmtId="0" fontId="112" fillId="33" borderId="0" xfId="0" applyFont="1" applyFill="1" applyBorder="1" applyAlignment="1">
      <alignment horizontal="center" vertical="center" wrapText="1"/>
    </xf>
    <xf numFmtId="0" fontId="112" fillId="33" borderId="37" xfId="0" applyFont="1" applyFill="1" applyBorder="1" applyAlignment="1">
      <alignment horizontal="center" vertical="center" wrapText="1"/>
    </xf>
    <xf numFmtId="0" fontId="120" fillId="35" borderId="26" xfId="1451" applyFont="1" applyFill="1" applyBorder="1" applyAlignment="1">
      <alignment horizontal="center" vertical="center"/>
    </xf>
    <xf numFmtId="0" fontId="120" fillId="35" borderId="36" xfId="1451" applyFont="1" applyFill="1" applyBorder="1" applyAlignment="1">
      <alignment horizontal="center" vertical="center"/>
    </xf>
    <xf numFmtId="0" fontId="120" fillId="35" borderId="48" xfId="1451" applyFont="1" applyFill="1" applyBorder="1" applyAlignment="1">
      <alignment horizontal="center" vertical="center"/>
    </xf>
    <xf numFmtId="0" fontId="120" fillId="35" borderId="28" xfId="1451" applyFont="1" applyFill="1" applyBorder="1" applyAlignment="1">
      <alignment horizontal="center" vertical="center"/>
    </xf>
    <xf numFmtId="0" fontId="120" fillId="35" borderId="0" xfId="1451" applyFont="1" applyFill="1" applyAlignment="1">
      <alignment horizontal="center" vertical="center"/>
    </xf>
    <xf numFmtId="0" fontId="120" fillId="35" borderId="37" xfId="1451" applyFont="1" applyFill="1" applyBorder="1" applyAlignment="1">
      <alignment horizontal="center" vertical="center"/>
    </xf>
    <xf numFmtId="0" fontId="120" fillId="35" borderId="34" xfId="1451" applyFont="1" applyFill="1" applyBorder="1" applyAlignment="1">
      <alignment horizontal="center" vertical="center"/>
    </xf>
    <xf numFmtId="0" fontId="120" fillId="35" borderId="19" xfId="1451" applyFont="1" applyFill="1" applyBorder="1" applyAlignment="1">
      <alignment horizontal="center" vertical="center"/>
    </xf>
    <xf numFmtId="0" fontId="120" fillId="35" borderId="31" xfId="1451" applyFont="1" applyFill="1" applyBorder="1" applyAlignment="1">
      <alignment horizontal="center" vertical="center"/>
    </xf>
    <xf numFmtId="0" fontId="158" fillId="0" borderId="0" xfId="1451" applyFont="1" applyAlignment="1">
      <alignment horizontal="left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0.69108827221998193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9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9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264829</xdr:colOff>
      <xdr:row>30</xdr:row>
      <xdr:rowOff>129019</xdr:rowOff>
    </xdr:from>
    <xdr:to>
      <xdr:col>20</xdr:col>
      <xdr:colOff>97189</xdr:colOff>
      <xdr:row>30</xdr:row>
      <xdr:rowOff>129019</xdr:rowOff>
    </xdr:to>
    <xdr:cxnSp macro="">
      <xdr:nvCxnSpPr>
        <xdr:cNvPr id="137" name="Straight Connector 136"/>
        <xdr:cNvCxnSpPr/>
      </xdr:nvCxnSpPr>
      <xdr:spPr>
        <a:xfrm flipH="1" flipV="1">
          <a:off x="5531594" y="4824284"/>
          <a:ext cx="173736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348401</xdr:colOff>
      <xdr:row>34</xdr:row>
      <xdr:rowOff>85625</xdr:rowOff>
    </xdr:from>
    <xdr:to>
      <xdr:col>21</xdr:col>
      <xdr:colOff>114382</xdr:colOff>
      <xdr:row>34</xdr:row>
      <xdr:rowOff>85625</xdr:rowOff>
    </xdr:to>
    <xdr:sp macro="" textlink="">
      <xdr:nvSpPr>
        <xdr:cNvPr id="646" name="Freeform 645"/>
        <xdr:cNvSpPr/>
      </xdr:nvSpPr>
      <xdr:spPr>
        <a:xfrm>
          <a:off x="550107" y="5408419"/>
          <a:ext cx="7117040" cy="0"/>
        </a:xfrm>
        <a:custGeom>
          <a:avLst/>
          <a:gdLst>
            <a:gd name="connsiteX0" fmla="*/ 3384176 w 3384176"/>
            <a:gd name="connsiteY0" fmla="*/ 0 h 11206"/>
            <a:gd name="connsiteX1" fmla="*/ 0 w 3384176"/>
            <a:gd name="connsiteY1" fmla="*/ 11206 h 112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84176" h="11206">
              <a:moveTo>
                <a:pt x="3384176" y="0"/>
              </a:moveTo>
              <a:lnTo>
                <a:pt x="0" y="11206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11576</xdr:colOff>
      <xdr:row>36</xdr:row>
      <xdr:rowOff>32649</xdr:rowOff>
    </xdr:from>
    <xdr:to>
      <xdr:col>12</xdr:col>
      <xdr:colOff>134470</xdr:colOff>
      <xdr:row>36</xdr:row>
      <xdr:rowOff>32649</xdr:rowOff>
    </xdr:to>
    <xdr:cxnSp macro="">
      <xdr:nvCxnSpPr>
        <xdr:cNvPr id="653" name="Straight Connector 652"/>
        <xdr:cNvCxnSpPr/>
      </xdr:nvCxnSpPr>
      <xdr:spPr>
        <a:xfrm flipH="1" flipV="1">
          <a:off x="2992341" y="5669208"/>
          <a:ext cx="126589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87089</xdr:colOff>
      <xdr:row>23</xdr:row>
      <xdr:rowOff>132941</xdr:rowOff>
    </xdr:from>
    <xdr:to>
      <xdr:col>10</xdr:col>
      <xdr:colOff>277092</xdr:colOff>
      <xdr:row>28</xdr:row>
      <xdr:rowOff>151840</xdr:rowOff>
    </xdr:to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2686854" y="3741235"/>
          <a:ext cx="952003" cy="80331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ALFAMART</a:t>
          </a:r>
        </a:p>
        <a:p>
          <a:pPr algn="ctr"/>
          <a:r>
            <a:rPr lang="en-US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23KVA</a:t>
          </a:r>
          <a:endParaRPr lang="en-US" sz="1100" b="0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373807</xdr:colOff>
      <xdr:row>5</xdr:row>
      <xdr:rowOff>44823</xdr:rowOff>
    </xdr:from>
    <xdr:to>
      <xdr:col>29</xdr:col>
      <xdr:colOff>302809</xdr:colOff>
      <xdr:row>19</xdr:row>
      <xdr:rowOff>61699</xdr:rowOff>
    </xdr:to>
    <xdr:grpSp>
      <xdr:nvGrpSpPr>
        <xdr:cNvPr id="562" name="Group 561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4189" y="829235"/>
          <a:ext cx="1509032" cy="2213229"/>
          <a:chOff x="9713886" y="808452"/>
          <a:chExt cx="1342558" cy="1766630"/>
        </a:xfrm>
      </xdr:grpSpPr>
      <xdr:grpSp>
        <xdr:nvGrpSpPr>
          <xdr:cNvPr id="563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22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3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579" idx="1"/>
              <a:endCxn id="57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4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579" idx="3"/>
              <a:endCxn id="57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4" name="Oval 563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65" name="Group 564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19" name="Oval 618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0" name="Straight Connector 619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619" idx="1"/>
              <a:endCxn id="61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1" name="Straight Connector 620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619" idx="3"/>
              <a:endCxn id="61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6" name="Oval 565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67" name="Straight Connector 566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9" name="Straight Connector 568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0" name="Straight Connector 569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2" name="Straight Connector 571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Straight Connector 572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4" name="Straight Connector 573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5" name="Straight Connector 574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7" name="Straight Connector 576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8" name="Straight Connector 577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Straight Connector 579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1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2" name="Straight Connector 581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Straight Connector 582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Straight Connector 584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9" name="Isosceles Triangle 588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90" name="Isosceles Triangle 589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91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17" name="TextBox 616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8" name="Straight Connector 617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2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15" name="TextBox 614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16" name="Straight Connector 615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3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611" name="Straight Connector 610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2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3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4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4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607" name="Straight Connector 606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8" name="Straight Connector 607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Straight Connector 608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0" name="Straight Connector 609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6" name="Straight Connector 595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7" name="Straight Arrow Connector 596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8" name="Straight Arrow Connector 597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9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604" name="Isosceles Triangle 603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5" name="Isosceles Triangle 604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6" name="Isosceles Triangle 605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600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601" name="Isosceles Triangle 600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2" name="Isosceles Triangle 601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3" name="Isosceles Triangle 602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214443</xdr:colOff>
      <xdr:row>18</xdr:row>
      <xdr:rowOff>46897</xdr:rowOff>
    </xdr:from>
    <xdr:to>
      <xdr:col>27</xdr:col>
      <xdr:colOff>30869</xdr:colOff>
      <xdr:row>19</xdr:row>
      <xdr:rowOff>123851</xdr:rowOff>
    </xdr:to>
    <xdr:grpSp>
      <xdr:nvGrpSpPr>
        <xdr:cNvPr id="625" name="Group 624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705825" y="2870779"/>
          <a:ext cx="253456" cy="233837"/>
          <a:chOff x="11040342" y="3026321"/>
          <a:chExt cx="251113" cy="183360"/>
        </a:xfrm>
      </xdr:grpSpPr>
      <xdr:sp macro="" textlink="">
        <xdr:nvSpPr>
          <xdr:cNvPr id="626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27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182505</xdr:colOff>
      <xdr:row>18</xdr:row>
      <xdr:rowOff>52093</xdr:rowOff>
    </xdr:from>
    <xdr:to>
      <xdr:col>29</xdr:col>
      <xdr:colOff>52618</xdr:colOff>
      <xdr:row>19</xdr:row>
      <xdr:rowOff>128029</xdr:rowOff>
    </xdr:to>
    <xdr:grpSp>
      <xdr:nvGrpSpPr>
        <xdr:cNvPr id="628" name="Group 627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91917" y="2875975"/>
          <a:ext cx="251113" cy="232819"/>
          <a:chOff x="11040342" y="3026321"/>
          <a:chExt cx="251113" cy="183360"/>
        </a:xfrm>
      </xdr:grpSpPr>
      <xdr:sp macro="" textlink="">
        <xdr:nvSpPr>
          <xdr:cNvPr id="629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0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197277</xdr:colOff>
      <xdr:row>31</xdr:row>
      <xdr:rowOff>98323</xdr:rowOff>
    </xdr:from>
    <xdr:to>
      <xdr:col>17</xdr:col>
      <xdr:colOff>329259</xdr:colOff>
      <xdr:row>32</xdr:row>
      <xdr:rowOff>85020</xdr:rowOff>
    </xdr:to>
    <xdr:sp macro="" textlink="">
      <xdr:nvSpPr>
        <xdr:cNvPr id="631" name="Isosceles Triangle 63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6226042" y="4950470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84768</xdr:colOff>
      <xdr:row>30</xdr:row>
      <xdr:rowOff>26688</xdr:rowOff>
    </xdr:from>
    <xdr:to>
      <xdr:col>13</xdr:col>
      <xdr:colOff>235855</xdr:colOff>
      <xdr:row>31</xdr:row>
      <xdr:rowOff>11498</xdr:rowOff>
    </xdr:to>
    <xdr:grpSp>
      <xdr:nvGrpSpPr>
        <xdr:cNvPr id="632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589533" y="4721953"/>
          <a:ext cx="151087" cy="141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3" name="Oval 632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634" name="Straight Connector 633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633" idx="1"/>
            <a:endCxn id="63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633" idx="3"/>
            <a:endCxn id="63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105097</xdr:colOff>
      <xdr:row>31</xdr:row>
      <xdr:rowOff>73380</xdr:rowOff>
    </xdr:from>
    <xdr:to>
      <xdr:col>17</xdr:col>
      <xdr:colOff>237079</xdr:colOff>
      <xdr:row>32</xdr:row>
      <xdr:rowOff>60077</xdr:rowOff>
    </xdr:to>
    <xdr:sp macro="" textlink="">
      <xdr:nvSpPr>
        <xdr:cNvPr id="644" name="Isosceles Triangle 643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6133862" y="4925527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264216</xdr:colOff>
      <xdr:row>31</xdr:row>
      <xdr:rowOff>86829</xdr:rowOff>
    </xdr:from>
    <xdr:to>
      <xdr:col>18</xdr:col>
      <xdr:colOff>15198</xdr:colOff>
      <xdr:row>32</xdr:row>
      <xdr:rowOff>73526</xdr:rowOff>
    </xdr:to>
    <xdr:sp macro="" textlink="">
      <xdr:nvSpPr>
        <xdr:cNvPr id="645" name="Isosceles Triangle 644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6292981" y="4938976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178479</xdr:colOff>
      <xdr:row>30</xdr:row>
      <xdr:rowOff>32088</xdr:rowOff>
    </xdr:from>
    <xdr:to>
      <xdr:col>11</xdr:col>
      <xdr:colOff>329566</xdr:colOff>
      <xdr:row>31</xdr:row>
      <xdr:rowOff>15880</xdr:rowOff>
    </xdr:to>
    <xdr:grpSp>
      <xdr:nvGrpSpPr>
        <xdr:cNvPr id="647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3921244" y="4727353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8" name="Oval 647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648" idx="1"/>
            <a:endCxn id="6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648" idx="3"/>
            <a:endCxn id="6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120214</xdr:colOff>
      <xdr:row>24</xdr:row>
      <xdr:rowOff>112112</xdr:rowOff>
    </xdr:from>
    <xdr:to>
      <xdr:col>20</xdr:col>
      <xdr:colOff>156884</xdr:colOff>
      <xdr:row>29</xdr:row>
      <xdr:rowOff>44824</xdr:rowOff>
    </xdr:to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6148979" y="3877288"/>
          <a:ext cx="1179670" cy="717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K2-370/388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1 CG312 100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1CJ6T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280678</xdr:colOff>
      <xdr:row>30</xdr:row>
      <xdr:rowOff>103386</xdr:rowOff>
    </xdr:from>
    <xdr:to>
      <xdr:col>17</xdr:col>
      <xdr:colOff>280678</xdr:colOff>
      <xdr:row>30</xdr:row>
      <xdr:rowOff>103386</xdr:rowOff>
    </xdr:to>
    <xdr:cxnSp macro="">
      <xdr:nvCxnSpPr>
        <xdr:cNvPr id="654" name="Straight Connector 653"/>
        <xdr:cNvCxnSpPr/>
      </xdr:nvCxnSpPr>
      <xdr:spPr>
        <a:xfrm flipV="1">
          <a:off x="4023443" y="4798651"/>
          <a:ext cx="22860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71319</xdr:colOff>
      <xdr:row>36</xdr:row>
      <xdr:rowOff>2034</xdr:rowOff>
    </xdr:from>
    <xdr:to>
      <xdr:col>12</xdr:col>
      <xdr:colOff>222406</xdr:colOff>
      <xdr:row>36</xdr:row>
      <xdr:rowOff>143726</xdr:rowOff>
    </xdr:to>
    <xdr:grpSp>
      <xdr:nvGrpSpPr>
        <xdr:cNvPr id="663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195084" y="5638593"/>
          <a:ext cx="151087" cy="141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4" name="Oval 663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665" name="Straight Connector 664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664" idx="1"/>
            <a:endCxn id="6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6" name="Straight Connector 665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664" idx="3"/>
            <a:endCxn id="6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232269</xdr:colOff>
      <xdr:row>30</xdr:row>
      <xdr:rowOff>9218</xdr:rowOff>
    </xdr:from>
    <xdr:to>
      <xdr:col>16</xdr:col>
      <xdr:colOff>352585</xdr:colOff>
      <xdr:row>30</xdr:row>
      <xdr:rowOff>118951</xdr:rowOff>
    </xdr:to>
    <xdr:grpSp>
      <xdr:nvGrpSpPr>
        <xdr:cNvPr id="700" name="Group 699"/>
        <xdr:cNvGrpSpPr/>
      </xdr:nvGrpSpPr>
      <xdr:grpSpPr>
        <a:xfrm>
          <a:off x="5880034" y="4704483"/>
          <a:ext cx="120316" cy="109733"/>
          <a:chOff x="4552393" y="5147729"/>
          <a:chExt cx="228791" cy="193248"/>
        </a:xfrm>
      </xdr:grpSpPr>
      <xdr:cxnSp macro="">
        <xdr:nvCxnSpPr>
          <xdr:cNvPr id="701" name="Straight Connector 70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2" name="Straight Connector 70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3" name="Straight Connector 70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4" name="Straight Connector 70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353294</xdr:colOff>
      <xdr:row>25</xdr:row>
      <xdr:rowOff>99679</xdr:rowOff>
    </xdr:from>
    <xdr:to>
      <xdr:col>12</xdr:col>
      <xdr:colOff>168089</xdr:colOff>
      <xdr:row>28</xdr:row>
      <xdr:rowOff>123263</xdr:rowOff>
    </xdr:to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3715059" y="4021738"/>
          <a:ext cx="576795" cy="4942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102284</xdr:colOff>
      <xdr:row>25</xdr:row>
      <xdr:rowOff>151225</xdr:rowOff>
    </xdr:from>
    <xdr:to>
      <xdr:col>16</xdr:col>
      <xdr:colOff>280147</xdr:colOff>
      <xdr:row>28</xdr:row>
      <xdr:rowOff>89645</xdr:rowOff>
    </xdr:to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5369049" y="4073284"/>
          <a:ext cx="558863" cy="409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rgbClr val="FF0000"/>
              </a:solidFill>
            </a:rPr>
            <a:t>1 CJ5T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134471</xdr:colOff>
      <xdr:row>30</xdr:row>
      <xdr:rowOff>22412</xdr:rowOff>
    </xdr:from>
    <xdr:to>
      <xdr:col>14</xdr:col>
      <xdr:colOff>254787</xdr:colOff>
      <xdr:row>30</xdr:row>
      <xdr:rowOff>132145</xdr:rowOff>
    </xdr:to>
    <xdr:grpSp>
      <xdr:nvGrpSpPr>
        <xdr:cNvPr id="197" name="Group 196"/>
        <xdr:cNvGrpSpPr/>
      </xdr:nvGrpSpPr>
      <xdr:grpSpPr>
        <a:xfrm>
          <a:off x="5020236" y="4717677"/>
          <a:ext cx="120316" cy="109733"/>
          <a:chOff x="4552393" y="5147729"/>
          <a:chExt cx="228791" cy="193248"/>
        </a:xfrm>
      </xdr:grpSpPr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56028</xdr:colOff>
      <xdr:row>28</xdr:row>
      <xdr:rowOff>145676</xdr:rowOff>
    </xdr:from>
    <xdr:to>
      <xdr:col>11</xdr:col>
      <xdr:colOff>178479</xdr:colOff>
      <xdr:row>30</xdr:row>
      <xdr:rowOff>102425</xdr:rowOff>
    </xdr:to>
    <xdr:cxnSp macro="">
      <xdr:nvCxnSpPr>
        <xdr:cNvPr id="202" name="Straight Connector 201"/>
        <xdr:cNvCxnSpPr>
          <a:endCxn id="648" idx="2"/>
        </xdr:cNvCxnSpPr>
      </xdr:nvCxnSpPr>
      <xdr:spPr>
        <a:xfrm>
          <a:off x="3417793" y="4538382"/>
          <a:ext cx="503451" cy="25930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164137</xdr:colOff>
      <xdr:row>31</xdr:row>
      <xdr:rowOff>20463</xdr:rowOff>
    </xdr:from>
    <xdr:to>
      <xdr:col>20</xdr:col>
      <xdr:colOff>87937</xdr:colOff>
      <xdr:row>31</xdr:row>
      <xdr:rowOff>20463</xdr:rowOff>
    </xdr:to>
    <xdr:cxnSp macro="">
      <xdr:nvCxnSpPr>
        <xdr:cNvPr id="138" name="Straight Connector 137"/>
        <xdr:cNvCxnSpPr/>
      </xdr:nvCxnSpPr>
      <xdr:spPr>
        <a:xfrm flipV="1">
          <a:off x="5430902" y="4872610"/>
          <a:ext cx="1828800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134471</xdr:colOff>
      <xdr:row>30</xdr:row>
      <xdr:rowOff>56030</xdr:rowOff>
    </xdr:from>
    <xdr:to>
      <xdr:col>15</xdr:col>
      <xdr:colOff>285558</xdr:colOff>
      <xdr:row>31</xdr:row>
      <xdr:rowOff>39822</xdr:rowOff>
    </xdr:to>
    <xdr:grpSp>
      <xdr:nvGrpSpPr>
        <xdr:cNvPr id="139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5401236" y="4751295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0" name="Oval 139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140" idx="1"/>
            <a:endCxn id="14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140" idx="3"/>
            <a:endCxn id="14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186018</xdr:colOff>
      <xdr:row>30</xdr:row>
      <xdr:rowOff>51548</xdr:rowOff>
    </xdr:from>
    <xdr:to>
      <xdr:col>17</xdr:col>
      <xdr:colOff>337105</xdr:colOff>
      <xdr:row>31</xdr:row>
      <xdr:rowOff>35340</xdr:rowOff>
    </xdr:to>
    <xdr:grpSp>
      <xdr:nvGrpSpPr>
        <xdr:cNvPr id="143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6214783" y="4746813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4" name="Oval 143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144" idx="1"/>
            <a:endCxn id="1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144" idx="3"/>
            <a:endCxn id="1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136713</xdr:colOff>
      <xdr:row>30</xdr:row>
      <xdr:rowOff>69477</xdr:rowOff>
    </xdr:from>
    <xdr:to>
      <xdr:col>19</xdr:col>
      <xdr:colOff>287800</xdr:colOff>
      <xdr:row>31</xdr:row>
      <xdr:rowOff>53269</xdr:rowOff>
    </xdr:to>
    <xdr:grpSp>
      <xdr:nvGrpSpPr>
        <xdr:cNvPr id="147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6927478" y="4764742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8" name="Oval 147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148" idx="1"/>
            <a:endCxn id="1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148" idx="3"/>
            <a:endCxn id="1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238992</xdr:colOff>
      <xdr:row>29</xdr:row>
      <xdr:rowOff>60766</xdr:rowOff>
    </xdr:from>
    <xdr:to>
      <xdr:col>10</xdr:col>
      <xdr:colOff>359308</xdr:colOff>
      <xdr:row>30</xdr:row>
      <xdr:rowOff>24822</xdr:rowOff>
    </xdr:to>
    <xdr:grpSp>
      <xdr:nvGrpSpPr>
        <xdr:cNvPr id="154" name="Group 153"/>
        <xdr:cNvGrpSpPr/>
      </xdr:nvGrpSpPr>
      <xdr:grpSpPr>
        <a:xfrm>
          <a:off x="3600757" y="4610354"/>
          <a:ext cx="120316" cy="109733"/>
          <a:chOff x="4552393" y="5147729"/>
          <a:chExt cx="228791" cy="193248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156070</xdr:colOff>
      <xdr:row>30</xdr:row>
      <xdr:rowOff>134724</xdr:rowOff>
    </xdr:from>
    <xdr:to>
      <xdr:col>16</xdr:col>
      <xdr:colOff>276386</xdr:colOff>
      <xdr:row>31</xdr:row>
      <xdr:rowOff>87575</xdr:rowOff>
    </xdr:to>
    <xdr:grpSp>
      <xdr:nvGrpSpPr>
        <xdr:cNvPr id="159" name="Group 158"/>
        <xdr:cNvGrpSpPr/>
      </xdr:nvGrpSpPr>
      <xdr:grpSpPr>
        <a:xfrm>
          <a:off x="5803835" y="4829989"/>
          <a:ext cx="120316" cy="109733"/>
          <a:chOff x="4552393" y="5147729"/>
          <a:chExt cx="228791" cy="193248"/>
        </a:xfrm>
      </xdr:grpSpPr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140381</xdr:colOff>
      <xdr:row>30</xdr:row>
      <xdr:rowOff>130241</xdr:rowOff>
    </xdr:from>
    <xdr:to>
      <xdr:col>18</xdr:col>
      <xdr:colOff>260697</xdr:colOff>
      <xdr:row>31</xdr:row>
      <xdr:rowOff>83092</xdr:rowOff>
    </xdr:to>
    <xdr:grpSp>
      <xdr:nvGrpSpPr>
        <xdr:cNvPr id="164" name="Group 163"/>
        <xdr:cNvGrpSpPr/>
      </xdr:nvGrpSpPr>
      <xdr:grpSpPr>
        <a:xfrm>
          <a:off x="6550146" y="4825506"/>
          <a:ext cx="120316" cy="109733"/>
          <a:chOff x="4552393" y="5147729"/>
          <a:chExt cx="228791" cy="193248"/>
        </a:xfrm>
      </xdr:grpSpPr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39528</xdr:colOff>
      <xdr:row>31</xdr:row>
      <xdr:rowOff>18183</xdr:rowOff>
    </xdr:from>
    <xdr:to>
      <xdr:col>20</xdr:col>
      <xdr:colOff>159844</xdr:colOff>
      <xdr:row>31</xdr:row>
      <xdr:rowOff>127916</xdr:rowOff>
    </xdr:to>
    <xdr:grpSp>
      <xdr:nvGrpSpPr>
        <xdr:cNvPr id="168" name="Group 167"/>
        <xdr:cNvGrpSpPr/>
      </xdr:nvGrpSpPr>
      <xdr:grpSpPr>
        <a:xfrm>
          <a:off x="7211293" y="4870330"/>
          <a:ext cx="120316" cy="109733"/>
          <a:chOff x="4552393" y="5147729"/>
          <a:chExt cx="228791" cy="193248"/>
        </a:xfrm>
      </xdr:grpSpPr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146863</xdr:colOff>
      <xdr:row>31</xdr:row>
      <xdr:rowOff>19221</xdr:rowOff>
    </xdr:from>
    <xdr:to>
      <xdr:col>15</xdr:col>
      <xdr:colOff>156597</xdr:colOff>
      <xdr:row>36</xdr:row>
      <xdr:rowOff>2034</xdr:rowOff>
    </xdr:to>
    <xdr:cxnSp macro="">
      <xdr:nvCxnSpPr>
        <xdr:cNvPr id="135" name="Straight Connector 134"/>
        <xdr:cNvCxnSpPr>
          <a:stCxn id="140" idx="3"/>
          <a:endCxn id="664" idx="0"/>
        </xdr:cNvCxnSpPr>
      </xdr:nvCxnSpPr>
      <xdr:spPr>
        <a:xfrm flipH="1">
          <a:off x="4270628" y="4871368"/>
          <a:ext cx="1152734" cy="76722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41772</xdr:colOff>
      <xdr:row>25</xdr:row>
      <xdr:rowOff>113125</xdr:rowOff>
    </xdr:from>
    <xdr:to>
      <xdr:col>14</xdr:col>
      <xdr:colOff>246529</xdr:colOff>
      <xdr:row>28</xdr:row>
      <xdr:rowOff>51545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546537" y="4035184"/>
          <a:ext cx="585757" cy="409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rgbClr val="FF0000"/>
              </a:solidFill>
            </a:rPr>
            <a:t>1 CJ5T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222406</xdr:colOff>
      <xdr:row>31</xdr:row>
      <xdr:rowOff>39822</xdr:rowOff>
    </xdr:from>
    <xdr:to>
      <xdr:col>15</xdr:col>
      <xdr:colOff>210015</xdr:colOff>
      <xdr:row>36</xdr:row>
      <xdr:rowOff>72880</xdr:rowOff>
    </xdr:to>
    <xdr:cxnSp macro="">
      <xdr:nvCxnSpPr>
        <xdr:cNvPr id="152" name="Straight Connector 151"/>
        <xdr:cNvCxnSpPr>
          <a:stCxn id="664" idx="6"/>
          <a:endCxn id="140" idx="4"/>
        </xdr:cNvCxnSpPr>
      </xdr:nvCxnSpPr>
      <xdr:spPr>
        <a:xfrm flipV="1">
          <a:off x="4346171" y="4891969"/>
          <a:ext cx="1130609" cy="8174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203134</xdr:colOff>
      <xdr:row>34</xdr:row>
      <xdr:rowOff>80935</xdr:rowOff>
    </xdr:from>
    <xdr:to>
      <xdr:col>13</xdr:col>
      <xdr:colOff>323450</xdr:colOff>
      <xdr:row>35</xdr:row>
      <xdr:rowOff>33786</xdr:rowOff>
    </xdr:to>
    <xdr:grpSp>
      <xdr:nvGrpSpPr>
        <xdr:cNvPr id="153" name="Group 152"/>
        <xdr:cNvGrpSpPr/>
      </xdr:nvGrpSpPr>
      <xdr:grpSpPr>
        <a:xfrm>
          <a:off x="4707899" y="5403729"/>
          <a:ext cx="120316" cy="109733"/>
          <a:chOff x="4552393" y="5147729"/>
          <a:chExt cx="228791" cy="193248"/>
        </a:xfrm>
      </xdr:grpSpPr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6" sqref="F6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4" t="s">
        <v>1134</v>
      </c>
      <c r="C4" s="514"/>
      <c r="D4" s="514"/>
      <c r="E4" s="514"/>
      <c r="F4" s="514"/>
      <c r="G4" s="514"/>
      <c r="H4" s="51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 t="s">
        <v>1622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5" t="s">
        <v>0</v>
      </c>
      <c r="C7" s="515" t="s">
        <v>1</v>
      </c>
      <c r="D7" s="516" t="s">
        <v>42</v>
      </c>
      <c r="E7" s="516" t="s">
        <v>43</v>
      </c>
      <c r="F7" s="516" t="s">
        <v>1135</v>
      </c>
      <c r="G7" s="517" t="s">
        <v>41</v>
      </c>
      <c r="H7" s="513" t="s">
        <v>1042</v>
      </c>
      <c r="I7" s="513" t="s">
        <v>1137</v>
      </c>
      <c r="J7" s="513" t="s">
        <v>1026</v>
      </c>
      <c r="K7" s="507" t="s">
        <v>1024</v>
      </c>
      <c r="L7" s="508"/>
    </row>
    <row r="8" spans="1:12" ht="15" customHeight="1">
      <c r="B8" s="515"/>
      <c r="C8" s="515"/>
      <c r="D8" s="516"/>
      <c r="E8" s="516"/>
      <c r="F8" s="516"/>
      <c r="G8" s="517"/>
      <c r="H8" s="513"/>
      <c r="I8" s="513"/>
      <c r="J8" s="513"/>
      <c r="K8" s="509"/>
      <c r="L8" s="510"/>
    </row>
    <row r="9" spans="1:12" ht="15" customHeight="1">
      <c r="B9" s="515"/>
      <c r="C9" s="515"/>
      <c r="D9" s="516"/>
      <c r="E9" s="516"/>
      <c r="F9" s="516"/>
      <c r="G9" s="517"/>
      <c r="H9" s="513"/>
      <c r="I9" s="513"/>
      <c r="J9" s="513"/>
      <c r="K9" s="511"/>
      <c r="L9" s="51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170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4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13500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SUMIFS(RAB!$F$14:$F$46,RAB!$C$14:$C$46,C714)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SUMIFS(RAB!$F$14:$F$46,RAB!$C$14:$C$46,C715)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SUMIFS(RAB!$F$14:$F$46,RAB!$C$14:$C$46,C716)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SUMIFS(RAB!$F$14:$F$46,RAB!$C$14:$C$46,C717)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SUMIFS(RAB!$F$14:$F$46,RAB!$C$14:$C$46,C718)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SUMIFS(RAB!$F$14:$F$46,RAB!$C$14:$C$46,C719)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SUMIFS(RAB!$F$14:$F$46,RAB!$C$14:$C$46,C720)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SUMIFS(RAB!$F$14:$F$46,RAB!$C$14:$C$46,C721)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SUMIFS(RAB!$F$14:$F$46,RAB!$C$14:$C$46,C722)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SUMIFS(RAB!$F$14:$F$46,RAB!$C$14:$C$46,C723)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SUMIFS(RAB!$F$14:$F$46,RAB!$C$14:$C$46,C724)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SUMIFS(RAB!$F$14:$F$46,RAB!$C$14:$C$46,C725)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SUMIFS(RAB!$F$14:$F$46,RAB!$C$14:$C$46,C726)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SUMIFS(RAB!$F$14:$F$46,RAB!$C$14:$C$46,C727)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SUMIFS(RAB!$F$14:$F$46,RAB!$C$14:$C$46,C728)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SUMIFS(RAB!$F$14:$F$46,RAB!$C$14:$C$46,C729)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SUMIFS(RAB!$F$14:$F$46,RAB!$C$14:$C$46,C730)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SUMIFS(RAB!$F$14:$F$46,RAB!$C$14:$C$46,C731)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SUMIFS(RAB!$F$14:$F$46,RAB!$C$14:$C$46,C732)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SUMIFS(RAB!$F$14:$F$46,RAB!$C$14:$C$46,C733)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SUMIFS(RAB!$F$14:$F$46,RAB!$C$14:$C$46,C734)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SUMIFS(RAB!$F$14:$F$46,RAB!$C$14:$C$46,C735)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SUMIFS(RAB!$F$14:$F$46,RAB!$C$14:$C$46,C736)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SUMIFS(RAB!$F$14:$F$46,RAB!$C$14:$C$46,C737)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SUMIFS(RAB!$F$14:$F$46,RAB!$C$14:$C$46,C738)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SUMIFS(RAB!$F$14:$F$46,RAB!$C$14:$C$46,C739)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SUMIFS(RAB!$F$14:$F$46,RAB!$C$14:$C$46,C740)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SUMIFS(RAB!$F$14:$F$46,RAB!$C$14:$C$46,C741)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SUMIFS(RAB!$F$14:$F$46,RAB!$C$14:$C$46,C742)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SUMIFS(RAB!$F$14:$F$46,RAB!$C$14:$C$46,C743)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SUMIFS(RAB!$F$14:$F$46,RAB!$C$14:$C$46,C744)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SUMIFS(RAB!$F$14:$F$46,RAB!$C$14:$C$46,C745)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SUMIFS(RAB!$F$14:$F$46,RAB!$C$14:$C$46,C746)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SUMIFS(RAB!$F$14:$F$46,RAB!$C$14:$C$46,C747)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SUMIFS(RAB!$F$14:$F$46,RAB!$C$14:$C$46,C748)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SUMIFS(RAB!$F$14:$F$46,RAB!$C$14:$C$46,C749)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SUMIFS(RAB!$F$14:$F$46,RAB!$C$14:$C$46,C750)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SUMIFS(RAB!$F$14:$F$46,RAB!$C$14:$C$46,C751)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SUMIFS(RAB!$F$14:$F$46,RAB!$C$14:$C$46,C752)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SUMIFS(RAB!$F$14:$F$46,RAB!$C$14:$C$46,C753)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SUMIFS(RAB!$F$14:$F$46,RAB!$C$14:$C$46,C754)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SUMIFS(RAB!$F$14:$F$46,RAB!$C$14:$C$46,C755)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SUMIFS(RAB!$F$14:$F$46,RAB!$C$14:$C$46,C756)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SUMIFS(RAB!$F$14:$F$46,RAB!$C$14:$C$46,C757)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SUMIFS(RAB!$F$14:$F$46,RAB!$C$14:$C$46,C758)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SUMIFS(RAB!$F$14:$F$46,RAB!$C$14:$C$46,C759)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SUMIFS(RAB!$F$14:$F$46,RAB!$C$14:$C$46,C760)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SUMIFS(RAB!$F$14:$F$46,RAB!$C$14:$C$46,C761)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SUMIFS(RAB!$F$14:$F$46,RAB!$C$14:$C$46,C762)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SUMIFS(RAB!$F$14:$F$46,RAB!$C$14:$C$46,C763)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SUMIFS(RAB!$F$14:$F$46,RAB!$C$14:$C$46,C764)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SUMIFS(RAB!$F$14:$F$46,RAB!$C$14:$C$46,C765)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SUMIFS(RAB!$F$14:$F$46,RAB!$C$14:$C$46,C766)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SUMIFS(RAB!$F$14:$F$46,RAB!$C$14:$C$46,C767)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SUMIFS(RAB!$F$14:$F$46,RAB!$C$14:$C$46,C768)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SUMIFS(RAB!$F$14:$F$46,RAB!$C$14:$C$46,C769)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SUMIFS(RAB!$F$14:$F$46,RAB!$C$14:$C$46,C770)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SUMIFS(RAB!$F$14:$F$46,RAB!$C$14:$C$46,C771)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SUMIFS(RAB!$F$14:$F$46,RAB!$C$14:$C$46,C772)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SUMIFS(RAB!$F$14:$F$46,RAB!$C$14:$C$46,C773)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SUMIFS(RAB!$F$14:$F$46,RAB!$C$14:$C$46,C774)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SUMIFS(RAB!$F$14:$F$46,RAB!$C$14:$C$46,C775)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SUMIFS(RAB!$F$14:$F$46,RAB!$C$14:$C$46,C776)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SUMIFS(RAB!$F$14:$F$46,RAB!$C$14:$C$46,C777)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SUMIFS(RAB!$F$14:$F$46,RAB!$C$14:$C$46,C778)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SUMIFS(RAB!$F$14:$F$46,RAB!$C$14:$C$46,C779)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SUMIFS(RAB!$F$14:$F$46,RAB!$C$14:$C$46,C780)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SUMIFS(RAB!$F$14:$F$46,RAB!$C$14:$C$46,C781)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SUMIFS(RAB!$F$14:$F$46,RAB!$C$14:$C$46,C782)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SUMIFS(RAB!$F$14:$F$46,RAB!$C$14:$C$46,C783)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SUMIFS(RAB!$F$14:$F$46,RAB!$C$14:$C$46,C784)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SUMIFS(RAB!$F$14:$F$46,RAB!$C$14:$C$46,C785)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SUMIFS(RAB!$F$14:$F$46,RAB!$C$14:$C$46,C786)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SUMIFS(RAB!$F$14:$F$46,RAB!$C$14:$C$46,C787)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SUMIFS(RAB!$F$14:$F$46,RAB!$C$14:$C$46,C788)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SUMIFS(RAB!$F$14:$F$46,RAB!$C$14:$C$46,C789)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SUMIFS(RAB!$F$14:$F$46,RAB!$C$14:$C$46,C790)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SUMIFS(RAB!$F$14:$F$46,RAB!$C$14:$C$46,C791)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SUMIFS(RAB!$F$14:$F$46,RAB!$C$14:$C$46,C792)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SUMIFS(RAB!$F$14:$F$46,RAB!$C$14:$C$46,C793)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SUMIFS(RAB!$F$14:$F$46,RAB!$C$14:$C$46,C794)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SUMIFS(RAB!$F$14:$F$46,RAB!$C$14:$C$46,C795)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SUMIFS(RAB!$F$14:$F$46,RAB!$C$14:$C$46,C796)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SUMIFS(RAB!$F$14:$F$46,RAB!$C$14:$C$46,C797)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SUMIFS(RAB!$F$14:$F$46,RAB!$C$14:$C$46,C798)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SUMIFS(RAB!$F$14:$F$46,RAB!$C$14:$C$46,C799)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SUMIFS(RAB!$F$14:$F$46,RAB!$C$14:$C$46,C800)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SUMIFS(RAB!$F$14:$F$46,RAB!$C$14:$C$46,C801)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SUMIFS(RAB!$F$14:$F$46,RAB!$C$14:$C$46,C802)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SUMIFS(RAB!$F$14:$F$46,RAB!$C$14:$C$46,C803)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SUMIFS(RAB!$F$14:$F$46,RAB!$C$14:$C$46,C804)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SUMIFS(RAB!$F$14:$F$46,RAB!$C$14:$C$46,C805)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SUMIFS(RAB!$F$14:$F$46,RAB!$C$14:$C$46,C806)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SUMIFS(RAB!$F$14:$F$46,RAB!$C$14:$C$46,C807)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SUMIFS(RAB!$F$14:$F$46,RAB!$C$14:$C$46,C808)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SUMIFS(RAB!$F$14:$F$46,RAB!$C$14:$C$46,C809)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SUMIFS(RAB!$F$14:$F$46,RAB!$C$14:$C$46,C810)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SUMIFS(RAB!$F$14:$F$46,RAB!$C$14:$C$46,C811)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SUMIFS(RAB!$F$14:$F$46,RAB!$C$14:$C$46,C812)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SUMIFS(RAB!$F$14:$F$46,RAB!$C$14:$C$46,C813)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SUMIFS(RAB!$F$14:$F$46,RAB!$C$14:$C$46,C814)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SUMIFS(RAB!$F$14:$F$46,RAB!$C$14:$C$46,C815)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SUMIFS(RAB!$F$14:$F$46,RAB!$C$14:$C$46,C816)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SUMIFS(RAB!$F$14:$F$46,RAB!$C$14:$C$46,C817)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SUMIFS(RAB!$F$14:$F$46,RAB!$C$14:$C$46,C818)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SUMIFS(RAB!$F$14:$F$46,RAB!$C$14:$C$46,C819)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SUMIFS(RAB!$F$14:$F$46,RAB!$C$14:$C$46,C820)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SUMIFS(RAB!$F$14:$F$46,RAB!$C$14:$C$46,C821)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SUMIFS(RAB!$F$14:$F$46,RAB!$C$14:$C$46,C822)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SUMIFS(RAB!$F$14:$F$46,RAB!$C$14:$C$46,C823)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SUMIFS(RAB!$F$14:$F$46,RAB!$C$14:$C$46,C824)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SUMIFS(RAB!$F$14:$F$46,RAB!$C$14:$C$46,C825)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SUMIFS(RAB!$F$14:$F$46,RAB!$C$14:$C$46,C826)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SUMIFS(RAB!$F$14:$F$46,RAB!$C$14:$C$46,C827)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SUMIFS(RAB!$F$14:$F$46,RAB!$C$14:$C$46,C828)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SUMIFS(RAB!$F$14:$F$46,RAB!$C$14:$C$46,C829)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SUMIFS(RAB!$F$14:$F$46,RAB!$C$14:$C$46,C830)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SUMIFS(RAB!$F$14:$F$46,RAB!$C$14:$C$46,C831)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SUMIFS(RAB!$F$14:$F$46,RAB!$C$14:$C$46,C832)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SUMIFS(RAB!$F$14:$F$46,RAB!$C$14:$C$46,C833)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SUMIFS(RAB!$F$14:$F$46,RAB!$C$14:$C$46,C834)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SUMIFS(RAB!$F$14:$F$46,RAB!$C$14:$C$46,C835)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SUMIFS(RAB!$F$14:$F$46,RAB!$C$14:$C$46,C836)</f>
        <v>170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SUMIFS(RAB!$F$14:$F$46,RAB!$C$14:$C$46,C837)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SUMIFS(RAB!$F$14:$F$46,RAB!$C$14:$C$46,C838)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SUMIFS(RAB!$F$14:$F$46,RAB!$C$14:$C$46,C839)</f>
        <v>35</v>
      </c>
      <c r="E839" s="26">
        <f t="shared" ca="1" si="34"/>
        <v>1</v>
      </c>
      <c r="F839" s="26">
        <f ca="1">IF(D839=0,0,SUM($E$713:E839))</f>
        <v>4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SUMIFS(RAB!$F$14:$F$46,RAB!$C$14:$C$46,C840)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SUMIFS(RAB!$F$14:$F$46,RAB!$C$14:$C$46,C841)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SUMIFS(RAB!$F$14:$F$46,RAB!$C$14:$C$46,C842)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SUMIFS(RAB!$F$14:$F$46,RAB!$C$14:$C$46,C843)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SUMIFS(RAB!$F$14:$F$46,RAB!$C$14:$C$46,C844)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SUMIFS(RAB!$F$14:$F$46,RAB!$C$14:$C$46,C845)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SUMIFS(RAB!$F$14:$F$46,RAB!$C$14:$C$46,C846)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SUMIFS(RAB!$F$14:$F$46,RAB!$C$14:$C$46,C847)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SUMIFS(RAB!$F$14:$F$46,RAB!$C$14:$C$46,C848)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SUMIFS(RAB!$F$14:$F$46,RAB!$C$14:$C$46,C849)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SUMIFS(RAB!$F$14:$F$46,RAB!$C$14:$C$46,C850)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SUMIFS(RAB!$F$14:$F$46,RAB!$C$14:$C$46,C851)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SUMIFS(RAB!$F$14:$F$46,RAB!$C$14:$C$46,C852)</f>
        <v>1</v>
      </c>
      <c r="E852" s="26">
        <f t="shared" ca="1" si="35"/>
        <v>1</v>
      </c>
      <c r="F852" s="26">
        <f ca="1">IF(D852=0,0,SUM($E$713:E852))</f>
        <v>5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SUMIFS(RAB!$F$14:$F$46,RAB!$C$14:$C$46,C853)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SUMIFS(RAB!$F$14:$F$46,RAB!$C$14:$C$46,C854)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SUMIFS(RAB!$F$14:$F$46,RAB!$C$14:$C$46,C855)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SUMIFS(RAB!$F$14:$F$46,RAB!$C$14:$C$46,C856)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SUMIFS(RAB!$F$14:$F$46,RAB!$C$14:$C$46,C857)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SUMIFS(RAB!$F$14:$F$46,RAB!$C$14:$C$46,C858)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SUMIFS(RAB!$F$14:$F$46,RAB!$C$14:$C$46,C859)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SUMIFS(RAB!$F$14:$F$46,RAB!$C$14:$C$46,C860)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SUMIFS(RAB!$F$14:$F$46,RAB!$C$14:$C$46,C861)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SUMIFS(RAB!$F$14:$F$46,RAB!$C$14:$C$46,C862)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SUMIFS(RAB!$F$14:$F$46,RAB!$C$14:$C$46,C863)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SUMIFS(RAB!$F$14:$F$46,RAB!$C$14:$C$46,C864)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SUMIFS(RAB!$F$14:$F$46,RAB!$C$14:$C$46,C865)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SUMIFS(RAB!$F$14:$F$46,RAB!$C$14:$C$46,C866)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SUMIFS(RAB!$F$14:$F$46,RAB!$C$14:$C$46,C867)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SUMIFS(RAB!$F$14:$F$46,RAB!$C$14:$C$46,C868)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SUMIFS(RAB!$F$14:$F$46,RAB!$C$14:$C$46,C869)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SUMIFS(RAB!$F$14:$F$46,RAB!$C$14:$C$46,C870)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SUMIFS(RAB!$F$14:$F$46,RAB!$C$14:$C$46,C871)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SUMIFS(RAB!$F$14:$F$46,RAB!$C$14:$C$46,C872)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SUMIFS(RAB!$F$14:$F$46,RAB!$C$14:$C$46,C873)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SUMIFS(RAB!$F$14:$F$46,RAB!$C$14:$C$46,C874)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SUMIFS(RAB!$F$14:$F$46,RAB!$C$14:$C$46,C875)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SUMIFS(RAB!$F$14:$F$46,RAB!$C$14:$C$46,C876)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SUMIFS(RAB!$F$14:$F$46,RAB!$C$14:$C$46,C877)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SUMIFS(RAB!$F$14:$F$46,RAB!$C$14:$C$46,C878)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SUMIFS(RAB!$F$14:$F$46,RAB!$C$14:$C$46,C879)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SUMIFS(RAB!$F$14:$F$46,RAB!$C$14:$C$46,C880)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SUMIFS(RAB!$F$14:$F$46,RAB!$C$14:$C$46,C881)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SUMIFS(RAB!$F$14:$F$46,RAB!$C$14:$C$46,C882)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SUMIFS(RAB!$F$14:$F$46,RAB!$C$14:$C$46,C883)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SUMIFS(RAB!$F$14:$F$46,RAB!$C$14:$C$46,C884)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SUMIFS(RAB!$F$14:$F$46,RAB!$C$14:$C$46,C885)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SUMIFS(RAB!$F$14:$F$46,RAB!$C$14:$C$46,C886)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SUMIFS(RAB!$F$14:$F$46,RAB!$C$14:$C$46,C887)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SUMIFS(RAB!$F$14:$F$46,RAB!$C$14:$C$46,C888)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SUMIFS(RAB!$F$14:$F$46,RAB!$C$14:$C$46,C889)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SUMIFS(RAB!$F$14:$F$46,RAB!$C$14:$C$46,C890)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SUMIFS(RAB!$F$14:$F$46,RAB!$C$14:$C$46,C891)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SUMIFS(RAB!$F$14:$F$46,RAB!$C$14:$C$46,C892)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SUMIFS(RAB!$F$14:$F$46,RAB!$C$14:$C$46,C893)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SUMIFS(RAB!$F$14:$F$46,RAB!$C$14:$C$46,C894)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SUMIFS(RAB!$F$14:$F$46,RAB!$C$14:$C$46,C895)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SUMIFS(RAB!$F$14:$F$46,RAB!$C$14:$C$46,C896)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SUMIFS(RAB!$F$14:$F$46,RAB!$C$14:$C$46,C897)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SUMIFS(RAB!$F$14:$F$46,RAB!$C$14:$C$46,C898)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SUMIFS(RAB!$F$14:$F$46,RAB!$C$14:$C$46,C899)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SUMIFS(RAB!$F$14:$F$46,RAB!$C$14:$C$46,C900)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SUMIFS(RAB!$F$14:$F$46,RAB!$C$14:$C$46,C901)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SUMIFS(RAB!$F$14:$F$46,RAB!$C$14:$C$46,C902)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SUMIFS(RAB!$F$14:$F$46,RAB!$C$14:$C$46,C903)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SUMIFS(RAB!$F$14:$F$46,RAB!$C$14:$C$46,C904)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SUMIFS(RAB!$F$14:$F$46,RAB!$C$14:$C$46,C905)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SUMIFS(RAB!$F$14:$F$46,RAB!$C$14:$C$46,C906)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SUMIFS(RAB!$F$14:$F$46,RAB!$C$14:$C$46,C907)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SUMIFS(RAB!$F$14:$F$46,RAB!$C$14:$C$46,C908)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SUMIFS(RAB!$F$14:$F$46,RAB!$C$14:$C$46,C909)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SUMIFS(RAB!$F$14:$F$46,RAB!$C$14:$C$46,C910)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SUMIFS(RAB!$F$14:$F$46,RAB!$C$14:$C$46,C911)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SUMIFS(RAB!$F$14:$F$46,RAB!$C$14:$C$46,C912)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SUMIFS(RAB!$F$14:$F$46,RAB!$C$14:$C$46,C913)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SUMIFS(RAB!$F$14:$F$46,RAB!$C$14:$C$46,C914)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SUMIFS(RAB!$F$14:$F$46,RAB!$C$14:$C$46,C915)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SUMIFS(RAB!$F$14:$F$46,RAB!$C$14:$C$46,C916)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SUMIFS(RAB!$F$14:$F$46,RAB!$C$14:$C$46,C917)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SUMIFS(RAB!$F$14:$F$46,RAB!$C$14:$C$46,C918)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SUMIFS(RAB!$F$14:$F$46,RAB!$C$14:$C$46,C919)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SUMIFS(RAB!$F$14:$F$46,RAB!$C$14:$C$46,C920)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SUMIFS(RAB!$F$14:$F$46,RAB!$C$14:$C$46,C921)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SUMIFS(RAB!$F$14:$F$46,RAB!$C$14:$C$46,C922)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SUMIFS(RAB!$F$14:$F$46,RAB!$C$14:$C$46,C923)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SUMIFS(RAB!$F$14:$F$46,RAB!$C$14:$C$46,C924)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SUMIFS(RAB!$F$14:$F$46,RAB!$C$14:$C$46,C925)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SUMIFS(RAB!$F$14:$F$46,RAB!$C$14:$C$46,C926)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SUMIFS(RAB!$F$14:$F$46,RAB!$C$14:$C$46,C927)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SUMIFS(RAB!$F$14:$F$46,RAB!$C$14:$C$46,C928)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SUMIFS(RAB!$F$14:$F$46,RAB!$C$14:$C$46,C929)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SUMIFS(RAB!$F$14:$F$46,RAB!$C$14:$C$46,C930)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SUMIFS(RAB!$F$14:$F$46,RAB!$C$14:$C$46,C931)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SUMIFS(RAB!$F$14:$F$46,RAB!$C$14:$C$46,C932)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SUMIFS(RAB!$F$14:$F$46,RAB!$C$14:$C$46,C933)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SUMIFS(RAB!$F$14:$F$46,RAB!$C$14:$C$46,C934)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SUMIFS(RAB!$F$14:$F$46,RAB!$C$14:$C$46,C935)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SUMIFS(RAB!$F$14:$F$46,RAB!$C$14:$C$46,C936)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SUMIFS(RAB!$F$14:$F$46,RAB!$C$14:$C$46,C937)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SUMIFS(RAB!$F$14:$F$46,RAB!$C$14:$C$46,C938)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SUMIFS(RAB!$F$14:$F$46,RAB!$C$14:$C$46,C939)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SUMIFS(RAB!$F$14:$F$46,RAB!$C$14:$C$46,C940)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SUMIFS(RAB!$F$14:$F$46,RAB!$C$14:$C$46,C941)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SUMIFS(RAB!$F$14:$F$46,RAB!$C$14:$C$46,C942)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SUMIFS(RAB!$F$14:$F$46,RAB!$C$14:$C$46,C943)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SUMIFS(RAB!$F$14:$F$46,RAB!$C$14:$C$46,C944)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SUMIFS(RAB!$F$14:$F$46,RAB!$C$14:$C$46,C945)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SUMIFS(RAB!$F$14:$F$46,RAB!$C$14:$C$46,C946)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SUMIFS(RAB!$F$14:$F$46,RAB!$C$14:$C$46,C947)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SUMIFS(RAB!$F$14:$F$46,RAB!$C$14:$C$46,C948)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SUMIFS(RAB!$F$14:$F$46,RAB!$C$14:$C$46,C949)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SUMIFS(RAB!$F$14:$F$46,RAB!$C$14:$C$46,C950)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SUMIFS(RAB!$F$14:$F$46,RAB!$C$14:$C$46,C951)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SUMIFS(RAB!$F$14:$F$46,RAB!$C$14:$C$46,C952)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SUMIFS(RAB!$F$14:$F$46,RAB!$C$14:$C$46,C953)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SUMIFS(RAB!$F$14:$F$46,RAB!$C$14:$C$46,C954)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SUMIFS(RAB!$F$14:$F$46,RAB!$C$14:$C$46,C955)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SUMIFS(RAB!$F$14:$F$46,RAB!$C$14:$C$46,C956)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SUMIFS(RAB!$F$14:$F$46,RAB!$C$14:$C$46,C957)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SUMIFS(RAB!$F$14:$F$46,RAB!$C$14:$C$46,C958)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SUMIFS(RAB!$F$14:$F$46,RAB!$C$14:$C$46,C959)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SUMIFS(RAB!$F$14:$F$46,RAB!$C$14:$C$46,C960)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SUMIFS(RAB!$F$14:$F$46,RAB!$C$14:$C$46,C961)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SUMIFS(RAB!$F$14:$F$46,RAB!$C$14:$C$46,C962)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SUMIFS(RAB!$F$14:$F$46,RAB!$C$14:$C$46,C963)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SUMIFS(RAB!$F$14:$F$46,RAB!$C$14:$C$46,C964)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SUMIFS(RAB!$F$14:$F$46,RAB!$C$14:$C$46,C965)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SUMIFS(RAB!$F$14:$F$46,RAB!$C$14:$C$46,C966)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SUMIFS(RAB!$F$14:$F$46,RAB!$C$14:$C$46,C967)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SUMIFS(RAB!$F$14:$F$46,RAB!$C$14:$C$46,C968)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SUMIFS(RAB!$F$14:$F$46,RAB!$C$14:$C$46,C969)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SUMIFS(RAB!$F$14:$F$46,RAB!$C$14:$C$46,C970)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SUMIFS(RAB!$F$14:$F$46,RAB!$C$14:$C$46,C971)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SUMIFS(RAB!$F$14:$F$46,RAB!$C$14:$C$46,C972)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SUMIFS(RAB!$F$14:$F$46,RAB!$C$14:$C$46,C973)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SUMIFS(RAB!$F$14:$F$46,RAB!$C$14:$C$46,C974)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SUMIFS(RAB!$F$14:$F$46,RAB!$C$14:$C$46,C975)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SUMIFS(RAB!$F$14:$F$46,RAB!$C$14:$C$46,C976)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SUMIFS(RAB!$F$14:$F$46,RAB!$C$14:$C$46,C977)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SUMIFS(RAB!$F$14:$F$46,RAB!$C$14:$C$46,C978)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SUMIFS(RAB!$F$14:$F$46,RAB!$C$14:$C$46,C979)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SUMIFS(RAB!$F$14:$F$46,RAB!$C$14:$C$46,C980)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SUMIFS(RAB!$F$14:$F$46,RAB!$C$14:$C$46,C981)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SUMIFS(RAB!$F$14:$F$46,RAB!$C$14:$C$46,C982)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SUMIFS(RAB!$F$14:$F$46,RAB!$C$14:$C$46,C983)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SUMIFS(RAB!$F$14:$F$46,RAB!$C$14:$C$46,C984)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SUMIFS(RAB!$F$14:$F$46,RAB!$C$14:$C$46,C985)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SUMIFS(RAB!$F$14:$F$46,RAB!$C$14:$C$46,C986)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SUMIFS(RAB!$F$14:$F$46,RAB!$C$14:$C$46,C987)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SUMIFS(RAB!$F$14:$F$46,RAB!$C$14:$C$46,C988)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SUMIFS(RAB!$F$14:$F$46,RAB!$C$14:$C$46,C989)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SUMIFS(RAB!$F$14:$F$46,RAB!$C$14:$C$46,C990)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SUMIFS(RAB!$F$14:$F$46,RAB!$C$14:$C$46,C991)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SUMIFS(RAB!$F$14:$F$46,RAB!$C$14:$C$46,C992)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SUMIFS(RAB!$F$14:$F$46,RAB!$C$14:$C$46,C993)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SUMIFS(RAB!$F$14:$F$46,RAB!$C$14:$C$46,C994)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SUMIFS(RAB!$F$14:$F$46,RAB!$C$14:$C$46,C995)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SUMIFS(RAB!$F$14:$F$46,RAB!$C$14:$C$46,C996)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SUMIFS(RAB!$F$14:$F$46,RAB!$C$14:$C$46,C997)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SUMIFS(RAB!$F$14:$F$46,RAB!$C$14:$C$46,C998)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SUMIFS(RAB!$F$14:$F$46,RAB!$C$14:$C$46,C999)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SUMIFS(RAB!$F$14:$F$46,RAB!$C$14:$C$46,C1000)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SUMIFS(RAB!$F$14:$F$46,RAB!$C$14:$C$46,C1001)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SUMIFS(RAB!$F$14:$F$46,RAB!$C$14:$C$46,C1002)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SUMIFS(RAB!$F$14:$F$46,RAB!$C$14:$C$46,C1003)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SUMIFS(RAB!$F$14:$F$46,RAB!$C$14:$C$46,C1004)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SUMIFS(RAB!$F$14:$F$46,RAB!$C$14:$C$46,C1005)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SUMIFS(RAB!$F$14:$F$46,RAB!$C$14:$C$46,C1006)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SUMIFS(RAB!$F$14:$F$46,RAB!$C$14:$C$46,C1007)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SUMIFS(RAB!$F$14:$F$46,RAB!$C$14:$C$46,C1008)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SUMIFS(RAB!$F$14:$F$46,RAB!$C$14:$C$46,C1009)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SUMIFS(RAB!$F$14:$F$46,RAB!$C$14:$C$46,C1010)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SUMIFS(RAB!$F$14:$F$46,RAB!$C$14:$C$46,C1011)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SUMIFS(RAB!$F$14:$F$46,RAB!$C$14:$C$46,C1012)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SUMIFS(RAB!$F$14:$F$46,RAB!$C$14:$C$46,C1013)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SUMIFS(RAB!$F$14:$F$46,RAB!$C$14:$C$46,C1014)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SUMIFS(RAB!$F$14:$F$46,RAB!$C$14:$C$46,C1015)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SUMIFS(RAB!$F$14:$F$46,RAB!$C$14:$C$46,C1016)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SUMIFS(RAB!$F$14:$F$46,RAB!$C$14:$C$46,C1017)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SUMIFS(RAB!$F$14:$F$46,RAB!$C$14:$C$46,C1018)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SUMIFS(RAB!$F$14:$F$46,RAB!$C$14:$C$46,C1019)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SUMIFS(RAB!$F$14:$F$46,RAB!$C$14:$C$46,C1020)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SUMIFS(RAB!$F$14:$F$46,RAB!$C$14:$C$46,C1021)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SUMIFS(RAB!$F$14:$F$46,RAB!$C$14:$C$46,C1022)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SUMIFS(RAB!$F$14:$F$46,RAB!$C$14:$C$46,C1023)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SUMIFS(RAB!$F$14:$F$46,RAB!$C$14:$C$46,C1024)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SUMIFS(RAB!$F$14:$F$46,RAB!$C$14:$C$46,C1025)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SUMIFS(RAB!$F$14:$F$46,RAB!$C$14:$C$46,C1026)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SUMIFS(RAB!$F$14:$F$46,RAB!$C$14:$C$46,C1027)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SUMIFS(RAB!$F$14:$F$46,RAB!$C$14:$C$46,C1028)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SUMIFS(RAB!$F$14:$F$46,RAB!$C$14:$C$46,C1029)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SUMIFS(RAB!$F$14:$F$46,RAB!$C$14:$C$46,C1030)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SUMIFS(RAB!$F$14:$F$46,RAB!$C$14:$C$46,C1031)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SUMIFS(RAB!$F$14:$F$46,RAB!$C$14:$C$46,C1032)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SUMIFS(RAB!$F$14:$F$46,RAB!$C$14:$C$46,C1033)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SUMIFS(RAB!$F$14:$F$46,RAB!$C$14:$C$46,C1034)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SUMIFS(RAB!$F$14:$F$46,RAB!$C$14:$C$46,C1035)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SUMIFS(RAB!$F$14:$F$46,RAB!$C$14:$C$46,C1036)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SUMIFS(RAB!$F$14:$F$46,RAB!$C$14:$C$46,C1037)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SUMIFS(RAB!$F$14:$F$46,RAB!$C$14:$C$46,C1038)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SUMIFS(RAB!$F$14:$F$46,RAB!$C$14:$C$46,C1039)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SUMIFS(RAB!$F$14:$F$46,RAB!$C$14:$C$46,C1040)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SUMIFS(RAB!$F$14:$F$46,RAB!$C$14:$C$46,C1041)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SUMIFS(RAB!$F$14:$F$46,RAB!$C$14:$C$46,C1042)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SUMIFS(RAB!$F$14:$F$46,RAB!$C$14:$C$46,C1043)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SUMIFS(RAB!$F$14:$F$46,RAB!$C$14:$C$46,C1044)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SUMIFS(RAB!$F$14:$F$46,RAB!$C$14:$C$46,C1045)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SUMIFS(RAB!$F$14:$F$46,RAB!$C$14:$C$46,C1046)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SUMIFS(RAB!$F$14:$F$46,RAB!$C$14:$C$46,C1047)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SUMIFS(RAB!$F$14:$F$46,RAB!$C$14:$C$46,C1048)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SUMIFS(RAB!$F$14:$F$46,RAB!$C$14:$C$46,C1049)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SUMIFS(RAB!$F$14:$F$46,RAB!$C$14:$C$46,C1050)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SUMIFS(RAB!$F$14:$F$46,RAB!$C$14:$C$46,C1051)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SUMIFS(RAB!$F$14:$F$46,RAB!$C$14:$C$46,C1052)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SUMIFS(RAB!$F$14:$F$46,RAB!$C$14:$C$46,C1053)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SUMIFS(RAB!$F$14:$F$46,RAB!$C$14:$C$46,C1054)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SUMIFS(RAB!$F$14:$F$46,RAB!$C$14:$C$46,C1055)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SUMIFS(RAB!$F$14:$F$46,RAB!$C$14:$C$46,C1056)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SUMIFS(RAB!$F$14:$F$46,RAB!$C$14:$C$46,C1057)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SUMIFS(RAB!$F$14:$F$46,RAB!$C$14:$C$46,C1058)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SUMIFS(RAB!$F$14:$F$46,RAB!$C$14:$C$46,C1059)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SUMIFS(RAB!$F$14:$F$46,RAB!$C$14:$C$46,C1060)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SUMIFS(RAB!$F$14:$F$46,RAB!$C$14:$C$46,C1061)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SUMIFS(RAB!$F$14:$F$46,RAB!$C$14:$C$46,C1062)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SUMIFS(RAB!$F$14:$F$46,RAB!$C$14:$C$46,C1063)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SUMIFS(RAB!$F$14:$F$46,RAB!$C$14:$C$46,C1064)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SUMIFS(RAB!$F$14:$F$46,RAB!$C$14:$C$46,C1065)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SUMIFS(RAB!$F$14:$F$46,RAB!$C$14:$C$46,C1066)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SUMIFS(RAB!$F$14:$F$46,RAB!$C$14:$C$46,C1067)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SUMIFS(RAB!$F$14:$F$46,RAB!$C$14:$C$46,C1068)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SUMIFS(RAB!$F$14:$F$46,RAB!$C$14:$C$46,C1069)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SUMIFS(RAB!$F$14:$F$46,RAB!$C$14:$C$46,C1070)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SUMIFS(RAB!$F$14:$F$46,RAB!$C$14:$C$46,C1071)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SUMIFS(RAB!$F$14:$F$46,RAB!$C$14:$C$46,C1072)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SUMIFS(RAB!$F$14:$F$46,RAB!$C$14:$C$46,C1073)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SUMIFS(RAB!$F$14:$F$46,RAB!$C$14:$C$46,C1074)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SUMIFS(RAB!$F$14:$F$46,RAB!$C$14:$C$46,C1075)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SUMIFS(RAB!$F$14:$F$46,RAB!$C$14:$C$46,C1076)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SUMIFS(RAB!$F$14:$F$46,RAB!$C$14:$C$46,C1077)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SUMIFS(RAB!$F$14:$F$46,RAB!$C$14:$C$46,C1078)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SUMIFS(RAB!$F$14:$F$46,RAB!$C$14:$C$46,C1079)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SUMIFS(RAB!$F$14:$F$46,RAB!$C$14:$C$46,C1080)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SUMIFS(RAB!$F$14:$F$46,RAB!$C$14:$C$46,C1081)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SUMIFS(RAB!$F$14:$F$46,RAB!$C$14:$C$46,C1082)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SUMIFS(RAB!$F$14:$F$46,RAB!$C$14:$C$46,C1083)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SUMIFS(RAB!$F$14:$F$46,RAB!$C$14:$C$46,C1084)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SUMIFS(RAB!$F$14:$F$46,RAB!$C$14:$C$46,C1085)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SUMIFS(RAB!$F$14:$F$46,RAB!$C$14:$C$46,C1086)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SUMIFS(RAB!$F$14:$F$46,RAB!$C$14:$C$46,C1087)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SUMIFS(RAB!$F$14:$F$46,RAB!$C$14:$C$46,C1088)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SUMIFS(RAB!$F$14:$F$46,RAB!$C$14:$C$46,C1089)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SUMIFS(RAB!$F$14:$F$46,RAB!$C$14:$C$46,C1090)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SUMIFS(RAB!$F$14:$F$46,RAB!$C$14:$C$46,C1091)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SUMIFS(RAB!$F$14:$F$46,RAB!$C$14:$C$46,C1092)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SUMIFS(RAB!$F$14:$F$46,RAB!$C$14:$C$46,C1093)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SUMIFS(RAB!$F$14:$F$46,RAB!$C$14:$C$46,C1094)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SUMIFS(RAB!$F$14:$F$46,RAB!$C$14:$C$46,C1095)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SUMIFS(RAB!$F$14:$F$46,RAB!$C$14:$C$46,C1096)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SUMIFS(RAB!$F$14:$F$46,RAB!$C$14:$C$46,C1097)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SUMIFS(RAB!$F$14:$F$46,RAB!$C$14:$C$46,C1098)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SUMIFS(RAB!$F$14:$F$46,RAB!$C$14:$C$46,C1099)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SUMIFS(RAB!$F$14:$F$46,RAB!$C$14:$C$46,C1100)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SUMIFS(RAB!$F$14:$F$46,RAB!$C$14:$C$46,C1101)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SUMIFS(RAB!$F$14:$F$46,RAB!$C$14:$C$46,C1102)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SUMIFS(RAB!$F$14:$F$46,RAB!$C$14:$C$46,C1103)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SUMIFS(RAB!$F$14:$F$46,RAB!$C$14:$C$46,C1104)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SUMIFS(RAB!$F$14:$F$46,RAB!$C$14:$C$46,C1105)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SUMIFS(RAB!$F$14:$F$46,RAB!$C$14:$C$46,C1106)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SUMIFS(RAB!$F$14:$F$46,RAB!$C$14:$C$46,C1107)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SUMIFS(RAB!$F$14:$F$46,RAB!$C$14:$C$46,C1108)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SUMIFS(RAB!$F$14:$F$46,RAB!$C$14:$C$46,C1109)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SUMIFS(RAB!$F$14:$F$46,RAB!$C$14:$C$46,C1110)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SUMIFS(RAB!$F$14:$F$46,RAB!$C$14:$C$46,C1111)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SUMIFS(RAB!$F$14:$F$46,RAB!$C$14:$C$46,C1112)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SUMIFS(RAB!$F$14:$F$46,RAB!$C$14:$C$46,C1113)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SUMIFS(RAB!$F$14:$F$46,RAB!$C$14:$C$46,C1114)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SUMIFS(RAB!$F$14:$F$46,RAB!$C$14:$C$46,C1115)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SUMIFS(RAB!$F$14:$F$46,RAB!$C$14:$C$46,C1116)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SUMIFS(RAB!$F$14:$F$46,RAB!$C$14:$C$46,C1117)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SUMIFS(RAB!$F$14:$F$46,RAB!$C$14:$C$46,C1118)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SUMIFS(RAB!$F$14:$F$46,RAB!$C$14:$C$46,C1119)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SUMIFS(RAB!$F$14:$F$46,RAB!$C$14:$C$46,C1120)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SUMIFS(RAB!$F$14:$F$46,RAB!$C$14:$C$46,C1121)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SUMIFS(RAB!$F$14:$F$46,RAB!$C$14:$C$46,C1122)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SUMIFS(RAB!$F$14:$F$46,RAB!$C$14:$C$46,C1123)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SUMIFS(RAB!$F$14:$F$46,RAB!$C$14:$C$46,C1124)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SUMIFS(RAB!$F$14:$F$46,RAB!$C$14:$C$46,C1125)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SUMIFS(RAB!$F$14:$F$46,RAB!$C$14:$C$46,C1126)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SUMIFS(RAB!$F$14:$F$46,RAB!$C$14:$C$46,C1127)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SUMIFS(RAB!$F$14:$F$46,RAB!$C$14:$C$46,C1128)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SUMIFS(RAB!$F$14:$F$46,RAB!$C$14:$C$46,C1129)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SUMIFS(RAB!$F$14:$F$46,RAB!$C$14:$C$46,C1130)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SUMIFS(RAB!$F$14:$F$46,RAB!$C$14:$C$46,C1131)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SUMIFS(RAB!$F$14:$F$46,RAB!$C$14:$C$46,C1132)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SUMIFS(RAB!$F$14:$F$46,RAB!$C$14:$C$46,C1133)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SUMIFS(RAB!$F$14:$F$46,RAB!$C$14:$C$46,C1134)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SUMIFS(RAB!$F$14:$F$46,RAB!$C$14:$C$46,C1135)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SUMIFS(RAB!$F$14:$F$46,RAB!$C$14:$C$46,C1136)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SUMIFS(RAB!$F$14:$F$46,RAB!$C$14:$C$46,C1137)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SUMIFS(RAB!$F$14:$F$46,RAB!$C$14:$C$46,C1138)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SUMIFS(RAB!$F$14:$F$46,RAB!$C$14:$C$46,C1139)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SUMIFS(RAB!$F$14:$F$46,RAB!$C$14:$C$46,C1140)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SUMIFS(RAB!$F$14:$F$46,RAB!$C$14:$C$46,C1141)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SUMIFS(RAB!$F$14:$F$46,RAB!$C$14:$C$46,C1142)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SUMIFS(RAB!$F$14:$F$46,RAB!$C$14:$C$46,C1143)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SUMIFS(RAB!$F$14:$F$46,RAB!$C$14:$C$46,C1144)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SUMIFS(RAB!$F$14:$F$46,RAB!$C$14:$C$46,C1145)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SUMIFS(RAB!$F$14:$F$46,RAB!$C$14:$C$46,C1146)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SUMIFS(RAB!$F$14:$F$46,RAB!$C$14:$C$46,C1147)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SUMIFS(RAB!$F$14:$F$46,RAB!$C$14:$C$46,C1148)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SUMIFS(RAB!$F$14:$F$46,RAB!$C$14:$C$46,C1149)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SUMIFS(RAB!$F$14:$F$46,RAB!$C$14:$C$46,C1150)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SUMIFS(RAB!$F$14:$F$46,RAB!$C$14:$C$46,C1151)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SUMIFS(RAB!$F$14:$F$46,RAB!$C$14:$C$46,C1152)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SUMIFS(RAB!$F$14:$F$46,RAB!$C$14:$C$46,C1153)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SUMIFS(RAB!$F$14:$F$46,RAB!$C$14:$C$46,C1154)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SUMIFS(RAB!$F$14:$F$46,RAB!$C$14:$C$46,C1155)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SUMIFS(RAB!$F$14:$F$46,RAB!$C$14:$C$46,C1156)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SUMIFS(RAB!$F$14:$F$46,RAB!$C$14:$C$46,C1157)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SUMIFS(RAB!$F$14:$F$46,RAB!$C$14:$C$46,C1158)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SUMIFS(RAB!$F$14:$F$46,RAB!$C$14:$C$46,C1159)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SUMIFS(RAB!$F$14:$F$46,RAB!$C$14:$C$46,C1160)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SUMIFS(RAB!$F$14:$F$46,RAB!$C$14:$C$46,C1161)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SUMIFS(RAB!$F$14:$F$46,RAB!$C$14:$C$46,C1162)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SUMIFS(RAB!$F$14:$F$46,RAB!$C$14:$C$46,C1163)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SUMIFS(RAB!$F$14:$F$46,RAB!$C$14:$C$46,C1164)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SUMIFS(RAB!$F$14:$F$46,RAB!$C$14:$C$46,C1165)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SUMIFS(RAB!$F$14:$F$46,RAB!$C$14:$C$46,C1166)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SUMIFS(RAB!$F$14:$F$46,RAB!$C$14:$C$46,C1167)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SUMIFS(RAB!$F$14:$F$46,RAB!$C$14:$C$46,C1168)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SUMIFS(RAB!$F$14:$F$46,RAB!$C$14:$C$46,C1169)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SUMIFS(RAB!$F$14:$F$46,RAB!$C$14:$C$46,C1170)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SUMIFS(RAB!$F$14:$F$46,RAB!$C$14:$C$46,C1171)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SUMIFS(RAB!$F$14:$F$46,RAB!$C$14:$C$46,C1172)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SUMIFS(RAB!$F$14:$F$46,RAB!$C$14:$C$46,C1173)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SUMIFS(RAB!$F$14:$F$46,RAB!$C$14:$C$46,C1174)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SUMIFS(RAB!$F$14:$F$46,RAB!$C$14:$C$46,C1175)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SUMIFS(RAB!$F$14:$F$46,RAB!$C$14:$C$46,C1176)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SUMIFS(RAB!$F$14:$F$46,RAB!$C$14:$C$46,C1177)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SUMIFS(RAB!$F$14:$F$46,RAB!$C$14:$C$46,C1178)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SUMIFS(RAB!$F$14:$F$46,RAB!$C$14:$C$46,C1179)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SUMIFS(RAB!$F$14:$F$46,RAB!$C$14:$C$46,C1180)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SUMIFS(RAB!$F$14:$F$46,RAB!$C$14:$C$46,C1181)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SUMIFS(RAB!$F$14:$F$46,RAB!$C$14:$C$46,C1182)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SUMIFS(RAB!$F$14:$F$46,RAB!$C$14:$C$46,C1183)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SUMIFS(RAB!$F$14:$F$46,RAB!$C$14:$C$46,C1184)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SUMIFS(RAB!$F$14:$F$46,RAB!$C$14:$C$46,C1185)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SUMIFS(RAB!$F$14:$F$46,RAB!$C$14:$C$46,C1186)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SUMIFS(RAB!$F$14:$F$46,RAB!$C$14:$C$46,C1187)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SUMIFS(RAB!$F$14:$F$46,RAB!$C$14:$C$46,C1188)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SUMIFS(RAB!$F$14:$F$46,RAB!$C$14:$C$46,C1189)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SUMIFS(RAB!$F$14:$F$46,RAB!$C$14:$C$46,C1190)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SUMIFS(RAB!$F$14:$F$46,RAB!$C$14:$C$46,C1191)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SUMIFS(RAB!$F$14:$F$46,RAB!$C$14:$C$46,C1192)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SUMIFS(RAB!$F$14:$F$46,RAB!$C$14:$C$46,C1193)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SUMIFS(RAB!$F$14:$F$46,RAB!$C$14:$C$46,C1194)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SUMIFS(RAB!$F$14:$F$46,RAB!$C$14:$C$46,C1195)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SUMIFS(RAB!$F$14:$F$46,RAB!$C$14:$C$46,C1196)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SUMIFS(RAB!$F$14:$F$46,RAB!$C$14:$C$46,C1197)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SUMIFS(RAB!$F$14:$F$46,RAB!$C$14:$C$46,C1198)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SUMIFS(RAB!$F$14:$F$46,RAB!$C$14:$C$46,C1199)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SUMIFS(RAB!$F$14:$F$46,RAB!$C$14:$C$46,C1200)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SUMIFS(RAB!$F$14:$F$46,RAB!$C$14:$C$46,C1201)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SUMIFS(RAB!$F$14:$F$46,RAB!$C$14:$C$46,C1202)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SUMIFS(RAB!$F$14:$F$46,RAB!$C$14:$C$46,C1203)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SUMIFS(RAB!$F$14:$F$46,RAB!$C$14:$C$46,C1204)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SUMIFS(RAB!$F$14:$F$46,RAB!$C$14:$C$46,C1205)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SUMIFS(RAB!$F$14:$F$46,RAB!$C$14:$C$46,C1206)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SUMIFS(RAB!$F$14:$F$46,RAB!$C$14:$C$46,C1207)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SUMIFS(RAB!$F$14:$F$46,RAB!$C$14:$C$46,C1208)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SUMIFS(RAB!$F$14:$F$46,RAB!$C$14:$C$46,C1209)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SUMIFS(RAB!$F$14:$F$46,RAB!$C$14:$C$46,C1210)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SUMIFS(RAB!$F$14:$F$46,RAB!$C$14:$C$46,C1211)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SUMIFS(RAB!$F$14:$F$46,RAB!$C$14:$C$46,C1212)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SUMIFS(RAB!$F$14:$F$46,RAB!$C$14:$C$46,C1213)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SUMIFS(RAB!$F$14:$F$46,RAB!$C$14:$C$46,C1214)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SUMIFS(RAB!$F$14:$F$46,RAB!$C$14:$C$46,C1215)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SUMIFS(RAB!$F$14:$F$46,RAB!$C$14:$C$46,C1216)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SUMIFS(RAB!$F$14:$F$46,RAB!$C$14:$C$46,C1217)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SUMIFS(RAB!$F$14:$F$46,RAB!$C$14:$C$46,C1218)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SUMIFS(RAB!$F$14:$F$46,RAB!$C$14:$C$46,C1219)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SUMIFS(RAB!$F$14:$F$46,RAB!$C$14:$C$46,C1220)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SUMIFS(RAB!$F$14:$F$46,RAB!$C$14:$C$46,C1221)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SUMIFS(RAB!$F$14:$F$46,RAB!$C$14:$C$46,C1222)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SUMIFS(RAB!$F$14:$F$46,RAB!$C$14:$C$46,C1223)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SUMIFS(RAB!$F$14:$F$46,RAB!$C$14:$C$46,C1224)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SUMIFS(RAB!$F$14:$F$46,RAB!$C$14:$C$46,C1225)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SUMIFS(RAB!$F$14:$F$46,RAB!$C$14:$C$46,C1226)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SUMIFS(RAB!$F$14:$F$46,RAB!$C$14:$C$46,C1227)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SUMIFS(RAB!$F$14:$F$46,RAB!$C$14:$C$46,C1228)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SUMIFS(RAB!$F$14:$F$46,RAB!$C$14:$C$46,C1229)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SUMIFS(RAB!$F$14:$F$46,RAB!$C$14:$C$46,C1230)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SUMIFS(RAB!$F$14:$F$46,RAB!$C$14:$C$46,C1231)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SUMIFS(RAB!$F$14:$F$46,RAB!$C$14:$C$46,C1232)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SUMIFS(RAB!$F$14:$F$46,RAB!$C$14:$C$46,C1233)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SUMIFS(RAB!$F$14:$F$46,RAB!$C$14:$C$46,C1234)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SUMIFS(RAB!$F$14:$F$46,RAB!$C$14:$C$46,C1235)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SUMIFS(RAB!$F$14:$F$46,RAB!$C$14:$C$46,C1236)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SUMIFS(RAB!$F$14:$F$46,RAB!$C$14:$C$46,C1237)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SUMIFS(RAB!$F$14:$F$46,RAB!$C$14:$C$46,C1238)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SUMIFS(RAB!$F$14:$F$46,RAB!$C$14:$C$46,C1239)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SUMIFS(RAB!$F$14:$F$46,RAB!$C$14:$C$46,C1240)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SUMIFS(RAB!$F$14:$F$46,RAB!$C$14:$C$46,C1241)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SUMIFS(RAB!$F$14:$F$46,RAB!$C$14:$C$46,C1242)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SUMIFS(RAB!$F$14:$F$46,RAB!$C$14:$C$46,C1243)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SUMIFS(RAB!$F$14:$F$46,RAB!$C$14:$C$46,C1244)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SUMIFS(RAB!$F$14:$F$46,RAB!$C$14:$C$46,C1245)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SUMIFS(RAB!$F$14:$F$46,RAB!$C$14:$C$46,C1246)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SUMIFS(RAB!$F$14:$F$46,RAB!$C$14:$C$46,C1247)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SUMIFS(RAB!$F$14:$F$46,RAB!$C$14:$C$46,C1248)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SUMIFS(RAB!$F$14:$F$46,RAB!$C$14:$C$46,C1249)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SUMIFS(RAB!$F$14:$F$46,RAB!$C$14:$C$46,C1250)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SUMIFS(RAB!$F$14:$F$46,RAB!$C$14:$C$46,C1251)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SUMIFS(RAB!$F$14:$F$46,RAB!$C$14:$C$46,C1252)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SUMIFS(RAB!$F$14:$F$46,RAB!$C$14:$C$46,C1253)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SUMIFS(RAB!$F$14:$F$46,RAB!$C$14:$C$46,C1254)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SUMIFS(RAB!$F$14:$F$46,RAB!$C$14:$C$46,C1255)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SUMIFS(RAB!$F$14:$F$46,RAB!$C$14:$C$46,C1256)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SUMIFS(RAB!$F$14:$F$46,RAB!$C$14:$C$46,C1257)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SUMIFS(RAB!$F$14:$F$46,RAB!$C$14:$C$46,C1258)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SUMIFS(RAB!$F$14:$F$46,RAB!$C$14:$C$46,C1259)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SUMIFS(RAB!$F$14:$F$46,RAB!$C$14:$C$46,C1260)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SUMIFS(RAB!$F$14:$F$46,RAB!$C$14:$C$46,C1261)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SUMIFS(RAB!$F$14:$F$46,RAB!$C$14:$C$46,C1262)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SUMIFS(RAB!$F$14:$F$46,RAB!$C$14:$C$46,C1263)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SUMIFS(RAB!$F$14:$F$46,RAB!$C$14:$C$46,C1264)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SUMIFS(RAB!$F$14:$F$46,RAB!$C$14:$C$46,C1265)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SUMIFS(RAB!$F$14:$F$46,RAB!$C$14:$C$46,C1266)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SUMIFS(RAB!$F$14:$F$46,RAB!$C$14:$C$46,C1267)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SUMIFS(RAB!$F$14:$F$46,RAB!$C$14:$C$46,C1268)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SUMIFS(RAB!$F$14:$F$46,RAB!$C$14:$C$46,C1269)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SUMIFS(RAB!$F$14:$F$46,RAB!$C$14:$C$46,C1270)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SUMIFS(RAB!$F$14:$F$46,RAB!$C$14:$C$46,C1271)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SUMIFS(RAB!$F$14:$F$46,RAB!$C$14:$C$46,C1272)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SUMIFS(RAB!$F$14:$F$46,RAB!$C$14:$C$46,C1273)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SUMIFS(RAB!$F$14:$F$46,RAB!$C$14:$C$46,C1274)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SUMIFS(RAB!$F$14:$F$46,RAB!$C$14:$C$46,C1275)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SUMIFS(RAB!$F$14:$F$46,RAB!$C$14:$C$46,C1276)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SUMIFS(RAB!$F$14:$F$46,RAB!$C$14:$C$46,C1277)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SUMIFS(RAB!$F$14:$F$46,RAB!$C$14:$C$46,C1278)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SUMIFS(RAB!$F$14:$F$46,RAB!$C$14:$C$46,C1279)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SUMIFS(RAB!$F$14:$F$46,RAB!$C$14:$C$46,C1280)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SUMIFS(RAB!$F$14:$F$46,RAB!$C$14:$C$46,C1281)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SUMIFS(RAB!$F$14:$F$46,RAB!$C$14:$C$46,C1282)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SUMIFS(RAB!$F$14:$F$46,RAB!$C$14:$C$46,C1283)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SUMIFS(RAB!$F$14:$F$46,RAB!$C$14:$C$46,C1284)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SUMIFS(RAB!$F$14:$F$46,RAB!$C$14:$C$46,C1285)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SUMIFS(RAB!$F$14:$F$46,RAB!$C$14:$C$46,C1286)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SUMIFS(RAB!$F$14:$F$46,RAB!$C$14:$C$46,C1287)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SUMIFS(RAB!$F$14:$F$46,RAB!$C$14:$C$46,C1288)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SUMIFS(RAB!$F$14:$F$46,RAB!$C$14:$C$46,C1289)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SUMIFS(RAB!$F$14:$F$46,RAB!$C$14:$C$46,C1290)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SUMIFS(RAB!$F$14:$F$46,RAB!$C$14:$C$46,C1291)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SUMIFS(RAB!$F$14:$F$46,RAB!$C$14:$C$46,C1292)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SUMIFS(RAB!$F$14:$F$46,RAB!$C$14:$C$46,C1293)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SUMIFS(RAB!$F$14:$F$46,RAB!$C$14:$C$46,C1294)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SUMIFS(RAB!$F$14:$F$46,RAB!$C$14:$C$46,C1295)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SUMIFS(RAB!$F$14:$F$46,RAB!$C$14:$C$46,C1296)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SUMIFS(RAB!$F$14:$F$46,RAB!$C$14:$C$46,C1297)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SUMIFS(RAB!$F$14:$F$46,RAB!$C$14:$C$46,C1298)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SUMIFS(RAB!$F$14:$F$46,RAB!$C$14:$C$46,C1299)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SUMIFS(RAB!$F$14:$F$46,RAB!$C$14:$C$46,C1300)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SUMIFS(RAB!$F$14:$F$46,RAB!$C$14:$C$46,C1301)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SUMIFS(RAB!$F$14:$F$46,RAB!$C$14:$C$46,C1302)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SUMIFS(RAB!$F$14:$F$46,RAB!$C$14:$C$46,C1303)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SUMIFS(RAB!$F$14:$F$46,RAB!$C$14:$C$46,C1304)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SUMIFS(RAB!$F$14:$F$46,RAB!$C$14:$C$46,C1305)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SUMIFS(RAB!$F$14:$F$46,RAB!$C$14:$C$46,C1306)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SUMIFS(RAB!$F$14:$F$46,RAB!$C$14:$C$46,C1307)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SUMIFS(RAB!$F$14:$F$46,RAB!$C$14:$C$46,C1308)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SUMIFS(RAB!$F$14:$F$46,RAB!$C$14:$C$46,C1309)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SUMIFS(RAB!$F$14:$F$46,RAB!$C$14:$C$46,C1310)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SUMIFS(RAB!$F$14:$F$46,RAB!$C$14:$C$46,C1311)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SUMIFS(RAB!$F$14:$F$46,RAB!$C$14:$C$46,C1312)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SUMIFS(RAB!$F$14:$F$46,RAB!$C$14:$C$46,C1313)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SUMIFS(RAB!$F$14:$F$46,RAB!$C$14:$C$46,C1314)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SUMIFS(RAB!$F$14:$F$46,RAB!$C$14:$C$46,C1315)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SUMIFS(RAB!$F$14:$F$46,RAB!$C$14:$C$46,C1316)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SUMIFS(RAB!$F$14:$F$46,RAB!$C$14:$C$46,C1317)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SUMIFS(RAB!$F$14:$F$46,RAB!$C$14:$C$46,C1318)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SUMIFS(RAB!$F$14:$F$46,RAB!$C$14:$C$46,C1319)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SUMIFS(RAB!$F$14:$F$46,RAB!$C$14:$C$46,C1320)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1127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7" t="str">
        <f>RAB!G6</f>
        <v>ALFAMART SULUR</v>
      </c>
      <c r="H6" s="527"/>
      <c r="I6" s="527"/>
      <c r="J6" s="527"/>
      <c r="K6" s="52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SULURSARI 2/5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1" t="s">
        <v>41</v>
      </c>
      <c r="H11" s="540" t="s">
        <v>3</v>
      </c>
      <c r="I11" s="540"/>
      <c r="J11" s="540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30"/>
      <c r="E12" s="530"/>
      <c r="F12" s="530"/>
      <c r="G12" s="542"/>
      <c r="H12" s="532" t="s">
        <v>46</v>
      </c>
      <c r="I12" s="532" t="s">
        <v>5</v>
      </c>
      <c r="J12" s="530" t="s">
        <v>47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30"/>
      <c r="E13" s="530"/>
      <c r="F13" s="530"/>
      <c r="G13" s="543"/>
      <c r="H13" s="533"/>
      <c r="I13" s="533"/>
      <c r="J13" s="530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8" t="s">
        <v>1008</v>
      </c>
      <c r="D38" s="528"/>
      <c r="E38" s="528"/>
      <c r="F38" s="528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29" t="s">
        <v>462</v>
      </c>
      <c r="D39" s="529"/>
      <c r="E39" s="529"/>
      <c r="F39" s="529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8" t="s">
        <v>463</v>
      </c>
      <c r="D40" s="518"/>
      <c r="E40" s="518"/>
      <c r="F40" s="518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21" t="e">
        <f ca="1">"Terbilang : ( "&amp;L42&amp;" Rupiah )"</f>
        <v>#NAME?</v>
      </c>
      <c r="C41" s="522"/>
      <c r="D41" s="522"/>
      <c r="E41" s="522"/>
      <c r="F41" s="522"/>
      <c r="G41" s="522"/>
      <c r="H41" s="522"/>
      <c r="I41" s="522"/>
      <c r="J41" s="522"/>
      <c r="K41" s="523"/>
      <c r="L41" s="44"/>
      <c r="R41" s="58"/>
      <c r="S41" s="58"/>
      <c r="T41" s="58"/>
    </row>
    <row r="42" spans="1:20" s="36" customFormat="1">
      <c r="A42" s="30"/>
      <c r="B42" s="524"/>
      <c r="C42" s="525"/>
      <c r="D42" s="525"/>
      <c r="E42" s="525"/>
      <c r="F42" s="525"/>
      <c r="G42" s="525"/>
      <c r="H42" s="525"/>
      <c r="I42" s="525"/>
      <c r="J42" s="525"/>
      <c r="K42" s="52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9"/>
      <c r="I45" s="519"/>
      <c r="J45" s="520"/>
      <c r="K45" s="52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9"/>
      <c r="I46" s="519"/>
      <c r="J46" s="520"/>
      <c r="K46" s="52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9"/>
      <c r="I47" s="519"/>
      <c r="J47" s="520"/>
      <c r="K47" s="52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9"/>
      <c r="I52" s="519"/>
      <c r="J52" s="520"/>
      <c r="K52" s="52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SUMIFS(RAB!$F$14:$F$46,RAB!$C$14:$C$46,'REKAP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SUMIFS(RAB!$F$14:$F$46,RAB!$C$14:$C$46,'REKAP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SUMIFS(RAB!$F$14:$F$46,RAB!$C$14:$C$46,'REKAP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SUMIFS(RAB!$F$14:$F$46,RAB!$C$14:$C$46,'REKAP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SUMIFS(RAB!$F$14:$F$46,RAB!$C$14:$C$46,'REKAP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SUMIFS(RAB!$F$14:$F$46,RAB!$C$14:$C$46,'REKAP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SUMIFS(RAB!$F$14:$F$46,RAB!$C$14:$C$46,'REKAP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SUMIFS(RAB!$F$14:$F$46,RAB!$C$14:$C$46,'REKAP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SUMIFS(RAB!$F$14:$F$46,RAB!$C$14:$C$46,'REKAP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SUMIFS(RAB!$F$14:$F$46,RAB!$C$14:$C$46,'REKAP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SUMIFS(RAB!$F$14:$F$46,RAB!$C$14:$C$46,'REKAP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SUMIFS(RAB!$F$14:$F$46,RAB!$C$14:$C$46,'REKAP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SUMIFS(RAB!$F$14:$F$46,RAB!$C$14:$C$46,'REKAP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SUMIFS(RAB!$F$14:$F$46,RAB!$C$14:$C$46,'REKAP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SUMIFS(RAB!$F$14:$F$46,RAB!$C$14:$C$46,'REKAP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SUMIFS(RAB!$F$14:$F$46,RAB!$C$14:$C$46,'REKAP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SUMIFS(RAB!$F$14:$F$46,RAB!$C$14:$C$46,'REKAP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SUMIFS(RAB!$F$14:$F$46,RAB!$C$14:$C$46,'REKAP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SUMIFS(RAB!$F$14:$F$46,RAB!$C$14:$C$46,'REKAP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SUMIFS(RAB!$F$14:$F$46,RAB!$C$14:$C$46,'REKAP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1034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7" t="str">
        <f>RAB!G6</f>
        <v>ALFAMART SULUR</v>
      </c>
      <c r="H6" s="527"/>
      <c r="I6" s="527"/>
      <c r="J6" s="527"/>
      <c r="K6" s="52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SULURSARI 2/5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1" t="s">
        <v>41</v>
      </c>
      <c r="H11" s="540" t="s">
        <v>3</v>
      </c>
      <c r="I11" s="540"/>
      <c r="J11" s="540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30"/>
      <c r="E12" s="530"/>
      <c r="F12" s="530"/>
      <c r="G12" s="542"/>
      <c r="H12" s="532" t="s">
        <v>46</v>
      </c>
      <c r="I12" s="532" t="s">
        <v>5</v>
      </c>
      <c r="J12" s="530" t="s">
        <v>47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30"/>
      <c r="E13" s="530"/>
      <c r="F13" s="530"/>
      <c r="G13" s="543"/>
      <c r="H13" s="533"/>
      <c r="I13" s="533"/>
      <c r="J13" s="530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170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9265000</v>
      </c>
      <c r="I18" s="42">
        <f t="shared" ca="1" si="2"/>
        <v>0</v>
      </c>
      <c r="J18" s="42">
        <f t="shared" ca="1" si="3"/>
        <v>0</v>
      </c>
      <c r="K18" s="43">
        <f t="shared" ca="1" si="0"/>
        <v>9265000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42">
        <f t="shared" ca="1" si="1"/>
        <v>472500</v>
      </c>
      <c r="I19" s="42">
        <f t="shared" ca="1" si="2"/>
        <v>0</v>
      </c>
      <c r="J19" s="42">
        <f t="shared" ca="1" si="3"/>
        <v>0</v>
      </c>
      <c r="K19" s="43">
        <f t="shared" ca="1" si="0"/>
        <v>472500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8" t="s">
        <v>1008</v>
      </c>
      <c r="D168" s="528"/>
      <c r="E168" s="528"/>
      <c r="F168" s="528"/>
      <c r="G168" s="77" t="s">
        <v>9</v>
      </c>
      <c r="H168" s="55">
        <f ca="1">SUM(H14:H167)</f>
        <v>14729800</v>
      </c>
      <c r="I168" s="55">
        <f ca="1">SUM(I14:I167)</f>
        <v>0</v>
      </c>
      <c r="J168" s="55">
        <f ca="1">SUM(J14:J167)</f>
        <v>0</v>
      </c>
      <c r="K168" s="55">
        <f ca="1">SUM(K14:K167)</f>
        <v>14729800</v>
      </c>
      <c r="L168" s="44"/>
      <c r="R168" s="99"/>
      <c r="S168" s="99"/>
      <c r="T168" s="99"/>
    </row>
    <row r="169" spans="1:20" s="36" customFormat="1">
      <c r="A169" s="30"/>
      <c r="B169" s="56"/>
      <c r="C169" s="529" t="s">
        <v>462</v>
      </c>
      <c r="D169" s="529"/>
      <c r="E169" s="529"/>
      <c r="F169" s="529"/>
      <c r="G169" s="59" t="s">
        <v>9</v>
      </c>
      <c r="H169" s="60">
        <f ca="1">H168*0.1</f>
        <v>1472980</v>
      </c>
      <c r="I169" s="60">
        <f ca="1">I168*0.1</f>
        <v>0</v>
      </c>
      <c r="J169" s="60">
        <f ca="1">J168*0.1</f>
        <v>0</v>
      </c>
      <c r="K169" s="60">
        <f ca="1">K168*0.1</f>
        <v>1472980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8" t="s">
        <v>463</v>
      </c>
      <c r="D170" s="518"/>
      <c r="E170" s="518"/>
      <c r="F170" s="518"/>
      <c r="G170" s="61" t="s">
        <v>9</v>
      </c>
      <c r="H170" s="78">
        <f ca="1">SUM(H168:H169)</f>
        <v>16202780</v>
      </c>
      <c r="I170" s="78">
        <f ca="1">SUM(I168:I169)</f>
        <v>0</v>
      </c>
      <c r="J170" s="61">
        <f ca="1">SUM(J168:J169)</f>
        <v>0</v>
      </c>
      <c r="K170" s="61">
        <f ca="1">SUM(K168:K169)</f>
        <v>16202780</v>
      </c>
      <c r="L170" s="44"/>
      <c r="R170" s="99"/>
      <c r="S170" s="99"/>
      <c r="T170" s="99"/>
    </row>
    <row r="171" spans="1:20" s="36" customFormat="1">
      <c r="A171" s="30"/>
      <c r="B171" s="521" t="e">
        <f ca="1">"Terbilang : ( "&amp;L172&amp;" Rupiah )"</f>
        <v>#NAME?</v>
      </c>
      <c r="C171" s="522"/>
      <c r="D171" s="522"/>
      <c r="E171" s="522"/>
      <c r="F171" s="522"/>
      <c r="G171" s="522"/>
      <c r="H171" s="522"/>
      <c r="I171" s="522"/>
      <c r="J171" s="522"/>
      <c r="K171" s="523"/>
      <c r="L171" s="44"/>
      <c r="R171" s="58"/>
      <c r="S171" s="58"/>
      <c r="T171" s="58"/>
    </row>
    <row r="172" spans="1:20" s="36" customFormat="1">
      <c r="A172" s="30"/>
      <c r="B172" s="524"/>
      <c r="C172" s="525"/>
      <c r="D172" s="525"/>
      <c r="E172" s="525"/>
      <c r="F172" s="525"/>
      <c r="G172" s="525"/>
      <c r="H172" s="525"/>
      <c r="I172" s="525"/>
      <c r="J172" s="525"/>
      <c r="K172" s="52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9"/>
      <c r="I175" s="519"/>
      <c r="J175" s="520"/>
      <c r="K175" s="52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9"/>
      <c r="I176" s="519"/>
      <c r="J176" s="520"/>
      <c r="K176" s="52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9"/>
      <c r="I177" s="519"/>
      <c r="J177" s="520"/>
      <c r="K177" s="52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9"/>
      <c r="I182" s="519"/>
      <c r="J182" s="520"/>
      <c r="K182" s="52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SUMIFS(RAB!$F$14:$F$46,RAB!$C$14:$C$46,C224)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SUMIFS(RAB!$F$14:$F$46,RAB!$C$14:$C$46,C225)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SUMIFS(RAB!$F$14:$F$46,RAB!$C$14:$C$46,C226)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SUMIFS(RAB!$F$14:$F$46,RAB!$C$14:$C$46,C227)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SUMIFS(RAB!$F$14:$F$46,RAB!$C$14:$C$46,C228)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SUMIFS(RAB!$F$14:$F$46,RAB!$C$14:$C$46,C229)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SUMIFS(RAB!$F$14:$F$46,RAB!$C$14:$C$46,C230)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SUMIFS(RAB!$F$14:$F$46,RAB!$C$14:$C$46,C231)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SUMIFS(RAB!$F$14:$F$46,RAB!$C$14:$C$46,C232)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SUMIFS(RAB!$F$14:$F$46,RAB!$C$14:$C$46,C233)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SUMIFS(RAB!$F$14:$F$46,RAB!$C$14:$C$46,C234)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SUMIFS(RAB!$F$14:$F$46,RAB!$C$14:$C$46,C235)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SUMIFS(RAB!$F$14:$F$46,RAB!$C$14:$C$46,C236)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SUMIFS(RAB!$F$14:$F$46,RAB!$C$14:$C$46,C237)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SUMIFS(RAB!$F$14:$F$46,RAB!$C$14:$C$46,C238)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SUMIFS(RAB!$F$14:$F$46,RAB!$C$14:$C$46,C239)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SUMIFS(RAB!$F$14:$F$46,RAB!$C$14:$C$46,C240)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SUMIFS(RAB!$F$14:$F$46,RAB!$C$14:$C$46,C241)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SUMIFS(RAB!$F$14:$F$46,RAB!$C$14:$C$46,C242)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SUMIFS(RAB!$F$14:$F$46,RAB!$C$14:$C$46,C243)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SUMIFS(RAB!$F$14:$F$46,RAB!$C$14:$C$46,C244)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SUMIFS(RAB!$F$14:$F$46,RAB!$C$14:$C$46,C245)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SUMIFS(RAB!$F$14:$F$46,RAB!$C$14:$C$46,C246)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SUMIFS(RAB!$F$14:$F$46,RAB!$C$14:$C$46,C247)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SUMIFS(RAB!$F$14:$F$46,RAB!$C$14:$C$46,C248)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SUMIFS(RAB!$F$14:$F$46,RAB!$C$14:$C$46,C249)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SUMIFS(RAB!$F$14:$F$46,RAB!$C$14:$C$46,C250)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SUMIFS(RAB!$F$14:$F$46,RAB!$C$14:$C$46,C251)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SUMIFS(RAB!$F$14:$F$46,RAB!$C$14:$C$46,C252)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SUMIFS(RAB!$F$14:$F$46,RAB!$C$14:$C$46,C253)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SUMIFS(RAB!$F$14:$F$46,RAB!$C$14:$C$46,C254)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SUMIFS(RAB!$F$14:$F$46,RAB!$C$14:$C$46,C255)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SUMIFS(RAB!$F$14:$F$46,RAB!$C$14:$C$46,C256)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SUMIFS(RAB!$F$14:$F$46,RAB!$C$14:$C$46,C257)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SUMIFS(RAB!$F$14:$F$46,RAB!$C$14:$C$46,C258)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SUMIFS(RAB!$F$14:$F$46,RAB!$C$14:$C$46,C259)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SUMIFS(RAB!$F$14:$F$46,RAB!$C$14:$C$46,C260)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SUMIFS(RAB!$F$14:$F$46,RAB!$C$14:$C$46,C261)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SUMIFS(RAB!$F$14:$F$46,RAB!$C$14:$C$46,C262)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SUMIFS(RAB!$F$14:$F$46,RAB!$C$14:$C$46,C263)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SUMIFS(RAB!$F$14:$F$46,RAB!$C$14:$C$46,C264)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SUMIFS(RAB!$F$14:$F$46,RAB!$C$14:$C$46,C265)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SUMIFS(RAB!$F$14:$F$46,RAB!$C$14:$C$46,C266)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SUMIFS(RAB!$F$14:$F$46,RAB!$C$14:$C$46,C267)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SUMIFS(RAB!$F$14:$F$46,RAB!$C$14:$C$46,C268)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SUMIFS(RAB!$F$14:$F$46,RAB!$C$14:$C$46,C269)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SUMIFS(RAB!$F$14:$F$46,RAB!$C$14:$C$46,C270)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SUMIFS(RAB!$F$14:$F$46,RAB!$C$14:$C$46,C271)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SUMIFS(RAB!$F$14:$F$46,RAB!$C$14:$C$46,C272)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SUMIFS(RAB!$F$14:$F$46,RAB!$C$14:$C$46,C273)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SUMIFS(RAB!$F$14:$F$46,RAB!$C$14:$C$46,C274)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SUMIFS(RAB!$F$14:$F$46,RAB!$C$14:$C$46,C275)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SUMIFS(RAB!$F$14:$F$46,RAB!$C$14:$C$46,C276)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SUMIFS(RAB!$F$14:$F$46,RAB!$C$14:$C$46,C277)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SUMIFS(RAB!$F$14:$F$46,RAB!$C$14:$C$46,C278)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SUMIFS(RAB!$F$14:$F$46,RAB!$C$14:$C$46,C279)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SUMIFS(RAB!$F$14:$F$46,RAB!$C$14:$C$46,C280)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SUMIFS(RAB!$F$14:$F$46,RAB!$C$14:$C$46,C281)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SUMIFS(RAB!$F$14:$F$46,RAB!$C$14:$C$46,C282)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SUMIFS(RAB!$F$14:$F$46,RAB!$C$14:$C$46,C283)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SUMIFS(RAB!$F$14:$F$46,RAB!$C$14:$C$46,C284)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SUMIFS(RAB!$F$14:$F$46,RAB!$C$14:$C$46,C285)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SUMIFS(RAB!$F$14:$F$46,RAB!$C$14:$C$46,C286)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SUMIFS(RAB!$F$14:$F$46,RAB!$C$14:$C$46,C287)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SUMIFS(RAB!$F$14:$F$46,RAB!$C$14:$C$46,C288)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SUMIFS(RAB!$F$14:$F$46,RAB!$C$14:$C$46,C289)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SUMIFS(RAB!$F$14:$F$46,RAB!$C$14:$C$46,C290)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SUMIFS(RAB!$F$14:$F$46,RAB!$C$14:$C$46,C291)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SUMIFS(RAB!$F$14:$F$46,RAB!$C$14:$C$46,C292)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SUMIFS(RAB!$F$14:$F$46,RAB!$C$14:$C$46,C293)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SUMIFS(RAB!$F$14:$F$46,RAB!$C$14:$C$46,C294)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SUMIFS(RAB!$F$14:$F$46,RAB!$C$14:$C$46,C295)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SUMIFS(RAB!$F$14:$F$46,RAB!$C$14:$C$46,C296)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SUMIFS(RAB!$F$14:$F$46,RAB!$C$14:$C$46,C297)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SUMIFS(RAB!$F$14:$F$46,RAB!$C$14:$C$46,C298)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SUMIFS(RAB!$F$14:$F$46,RAB!$C$14:$C$46,C299)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SUMIFS(RAB!$F$14:$F$46,RAB!$C$14:$C$46,C300)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SUMIFS(RAB!$F$14:$F$46,RAB!$C$14:$C$46,C301)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SUMIFS(RAB!$F$14:$F$46,RAB!$C$14:$C$46,C302)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SUMIFS(RAB!$F$14:$F$46,RAB!$C$14:$C$46,C303)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SUMIFS(RAB!$F$14:$F$46,RAB!$C$14:$C$46,C304)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SUMIFS(RAB!$F$14:$F$46,RAB!$C$14:$C$46,C305)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SUMIFS(RAB!$F$14:$F$46,RAB!$C$14:$C$46,C306)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SUMIFS(RAB!$F$14:$F$46,RAB!$C$14:$C$46,C307)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SUMIFS(RAB!$F$14:$F$46,RAB!$C$14:$C$46,C308)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SUMIFS(RAB!$F$14:$F$46,RAB!$C$14:$C$46,C309)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SUMIFS(RAB!$F$14:$F$46,RAB!$C$14:$C$46,C310)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SUMIFS(RAB!$F$14:$F$46,RAB!$C$14:$C$46,C311)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SUMIFS(RAB!$F$14:$F$46,RAB!$C$14:$C$46,C312)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SUMIFS(RAB!$F$14:$F$46,RAB!$C$14:$C$46,C313)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SUMIFS(RAB!$F$14:$F$46,RAB!$C$14:$C$46,C314)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SUMIFS(RAB!$F$14:$F$46,RAB!$C$14:$C$46,C315)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SUMIFS(RAB!$F$14:$F$46,RAB!$C$14:$C$46,C316)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SUMIFS(RAB!$F$14:$F$46,RAB!$C$14:$C$46,C317)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SUMIFS(RAB!$F$14:$F$46,RAB!$C$14:$C$46,C318)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SUMIFS(RAB!$F$14:$F$46,RAB!$C$14:$C$46,C319)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SUMIFS(RAB!$F$14:$F$46,RAB!$C$14:$C$46,C320)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SUMIFS(RAB!$F$14:$F$46,RAB!$C$14:$C$46,C321)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SUMIFS(RAB!$F$14:$F$46,RAB!$C$14:$C$46,C322)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SUMIFS(RAB!$F$14:$F$46,RAB!$C$14:$C$46,C323)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SUMIFS(RAB!$F$14:$F$46,RAB!$C$14:$C$46,C324)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SUMIFS(RAB!$F$14:$F$46,RAB!$C$14:$C$46,C325)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SUMIFS(RAB!$F$14:$F$46,RAB!$C$14:$C$46,C326)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SUMIFS(RAB!$F$14:$F$46,RAB!$C$14:$C$46,C327)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SUMIFS(RAB!$F$14:$F$46,RAB!$C$14:$C$46,C328)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SUMIFS(RAB!$F$14:$F$46,RAB!$C$14:$C$46,C329)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SUMIFS(RAB!$F$14:$F$46,RAB!$C$14:$C$46,C330)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SUMIFS(RAB!$F$14:$F$46,RAB!$C$14:$C$46,C331)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SUMIFS(RAB!$F$14:$F$46,RAB!$C$14:$C$46,C332)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SUMIFS(RAB!$F$14:$F$46,RAB!$C$14:$C$46,C333)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SUMIFS(RAB!$F$14:$F$46,RAB!$C$14:$C$46,C334)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SUMIFS(RAB!$F$14:$F$46,RAB!$C$14:$C$46,C335)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SUMIFS(RAB!$F$14:$F$46,RAB!$C$14:$C$46,C336)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SUMIFS(RAB!$F$14:$F$46,RAB!$C$14:$C$46,C337)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SUMIFS(RAB!$F$14:$F$46,RAB!$C$14:$C$46,C338)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SUMIFS(RAB!$F$14:$F$46,RAB!$C$14:$C$46,C339)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SUMIFS(RAB!$F$14:$F$46,RAB!$C$14:$C$46,C340)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SUMIFS(RAB!$F$14:$F$46,RAB!$C$14:$C$46,C341)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SUMIFS(RAB!$F$14:$F$46,RAB!$C$14:$C$46,C342)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SUMIFS(RAB!$F$14:$F$46,RAB!$C$14:$C$46,C343)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SUMIFS(RAB!$F$14:$F$46,RAB!$C$14:$C$46,C344)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SUMIFS(RAB!$F$14:$F$46,RAB!$C$14:$C$46,C345)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SUMIFS(RAB!$F$14:$F$46,RAB!$C$14:$C$46,C346)</f>
        <v>170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SUMIFS(RAB!$F$14:$F$46,RAB!$C$14:$C$46,C347)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SUMIFS(RAB!$F$14:$F$46,RAB!$C$14:$C$46,C348)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SUMIFS(RAB!$F$14:$F$46,RAB!$C$14:$C$46,C349)</f>
        <v>35</v>
      </c>
      <c r="E349" s="24">
        <f t="shared" ca="1" si="22"/>
        <v>1</v>
      </c>
      <c r="F349" s="24">
        <f ca="1">IF(D349=0,0,SUM($E$223:E349))</f>
        <v>4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SUMIFS(RAB!$F$14:$F$46,RAB!$C$14:$C$46,C350)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SUMIFS(RAB!$F$14:$F$46,RAB!$C$14:$C$46,C351)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SUMIFS(RAB!$F$14:$F$46,RAB!$C$14:$C$46,C352)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SUMIFS(RAB!$F$14:$F$46,RAB!$C$14:$C$46,C353)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SUMIFS(RAB!$F$14:$F$46,RAB!$C$14:$C$46,C354)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SUMIFS(RAB!$F$14:$F$46,RAB!$C$14:$C$46,C355)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SUMIFS(RAB!$F$14:$F$46,RAB!$C$14:$C$46,C356)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SUMIFS(RAB!$F$14:$F$46,RAB!$C$14:$C$46,C357)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SUMIFS(RAB!$F$14:$F$46,RAB!$C$14:$C$46,C358)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SUMIFS(RAB!$F$14:$F$46,RAB!$C$14:$C$46,C359)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SUMIFS(RAB!$F$14:$F$46,RAB!$C$14:$C$46,C360)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SUMIFS(RAB!$F$14:$F$46,RAB!$C$14:$C$46,C361)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SUMIFS(RAB!$F$14:$F$46,RAB!$C$14:$C$46,C362)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SUMIFS(RAB!$F$14:$F$46,RAB!$C$14:$C$46,C363)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SUMIFS(RAB!$F$14:$F$46,RAB!$C$14:$C$46,C364)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SUMIFS(RAB!$F$14:$F$46,RAB!$C$14:$C$46,C365)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SUMIFS(RAB!$F$14:$F$46,RAB!$C$14:$C$46,C366)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SUMIFS(RAB!$F$14:$F$46,RAB!$C$14:$C$46,C367)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SUMIFS(RAB!$F$14:$F$46,RAB!$C$14:$C$46,C368)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SUMIFS(RAB!$F$14:$F$46,RAB!$C$14:$C$46,C369)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SUMIFS(RAB!$F$14:$F$46,RAB!$C$14:$C$46,C370)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SUMIFS(RAB!$F$14:$F$46,RAB!$C$14:$C$46,C371)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SUMIFS(RAB!$F$14:$F$46,RAB!$C$14:$C$46,C372)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SUMIFS(RAB!$F$14:$F$46,RAB!$C$14:$C$46,C373)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3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6" t="s">
        <v>41</v>
      </c>
      <c r="C2" s="54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7" t="s">
        <v>23</v>
      </c>
      <c r="C4" s="548" t="s">
        <v>1012</v>
      </c>
      <c r="D4" s="548" t="s">
        <v>42</v>
      </c>
      <c r="E4" s="547" t="s">
        <v>43</v>
      </c>
      <c r="F4" s="108" t="s">
        <v>1605</v>
      </c>
      <c r="G4" s="108" t="s">
        <v>1604</v>
      </c>
      <c r="H4" s="54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7"/>
      <c r="C5" s="548"/>
      <c r="D5" s="548"/>
      <c r="E5" s="547"/>
      <c r="F5" s="93"/>
      <c r="G5" s="93"/>
      <c r="H5" s="545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13" zoomScale="70" zoomScaleNormal="70" zoomScaleSheetLayoutView="85" workbookViewId="0">
      <selection activeCell="D17" sqref="D17:E17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3" t="s">
        <v>1454</v>
      </c>
      <c r="C2" s="553"/>
      <c r="D2" s="553"/>
      <c r="E2" s="55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58" t="s">
        <v>1532</v>
      </c>
      <c r="C4" s="559"/>
      <c r="D4" s="559"/>
      <c r="E4" s="560"/>
      <c r="F4" s="434"/>
      <c r="G4" s="434"/>
      <c r="H4" s="435"/>
      <c r="I4" s="583" t="s">
        <v>1533</v>
      </c>
      <c r="J4" s="584"/>
      <c r="K4" s="584"/>
      <c r="L4" s="585"/>
    </row>
    <row r="5" spans="1:12" ht="34.5" customHeight="1">
      <c r="A5" s="204"/>
      <c r="B5" s="437" t="s">
        <v>1379</v>
      </c>
      <c r="C5" s="277" t="s">
        <v>9</v>
      </c>
      <c r="D5" s="554"/>
      <c r="E5" s="555"/>
      <c r="F5" s="208"/>
      <c r="G5" s="208"/>
      <c r="I5" s="438" t="s">
        <v>1379</v>
      </c>
      <c r="J5" s="277" t="s">
        <v>9</v>
      </c>
      <c r="K5" s="586">
        <f>D5</f>
        <v>0</v>
      </c>
      <c r="L5" s="587"/>
    </row>
    <row r="6" spans="1:12" ht="31.5" customHeight="1">
      <c r="A6" s="204"/>
      <c r="B6" s="437" t="s">
        <v>1529</v>
      </c>
      <c r="C6" s="277" t="s">
        <v>9</v>
      </c>
      <c r="D6" s="563">
        <f>DATA!D17*1000</f>
        <v>0</v>
      </c>
      <c r="E6" s="564"/>
      <c r="F6" s="208"/>
      <c r="G6" s="208"/>
      <c r="I6" s="438" t="s">
        <v>1530</v>
      </c>
      <c r="J6" s="277" t="s">
        <v>9</v>
      </c>
      <c r="K6" s="588">
        <f>DATA!D20*1000</f>
        <v>23000</v>
      </c>
      <c r="L6" s="589"/>
    </row>
    <row r="7" spans="1:12" ht="30.75" customHeight="1">
      <c r="A7" s="204"/>
      <c r="B7" s="437" t="s">
        <v>1441</v>
      </c>
      <c r="C7" s="277" t="s">
        <v>9</v>
      </c>
      <c r="D7" s="561"/>
      <c r="E7" s="562"/>
      <c r="F7" s="436" t="s">
        <v>1453</v>
      </c>
      <c r="I7" s="438" t="s">
        <v>1441</v>
      </c>
      <c r="J7" s="277" t="s">
        <v>9</v>
      </c>
      <c r="K7" s="590">
        <f>DATA!D21</f>
        <v>3</v>
      </c>
      <c r="L7" s="591"/>
    </row>
    <row r="8" spans="1:12" ht="51" customHeight="1">
      <c r="A8" s="204"/>
      <c r="B8" s="437" t="s">
        <v>1442</v>
      </c>
      <c r="C8" s="277" t="s">
        <v>9</v>
      </c>
      <c r="D8" s="561">
        <f>DATA!D19</f>
        <v>220</v>
      </c>
      <c r="E8" s="562"/>
      <c r="F8" s="436" t="s">
        <v>1453</v>
      </c>
      <c r="G8" s="431">
        <v>220</v>
      </c>
      <c r="I8" s="438" t="s">
        <v>1442</v>
      </c>
      <c r="J8" s="277" t="s">
        <v>9</v>
      </c>
      <c r="K8" s="590">
        <f>DATA!D22</f>
        <v>380</v>
      </c>
      <c r="L8" s="591"/>
    </row>
    <row r="9" spans="1:12" ht="30" customHeight="1" thickBot="1">
      <c r="A9" s="204"/>
      <c r="B9" s="443" t="s">
        <v>1541</v>
      </c>
      <c r="C9" s="433" t="s">
        <v>9</v>
      </c>
      <c r="D9" s="556">
        <f>IF(D7=1,D6/(380/3^0.5),(D6/(380*3^0.5)))</f>
        <v>0</v>
      </c>
      <c r="E9" s="557"/>
      <c r="F9" s="207"/>
      <c r="G9" s="432">
        <v>380</v>
      </c>
      <c r="I9" s="444" t="s">
        <v>1541</v>
      </c>
      <c r="J9" s="433" t="s">
        <v>9</v>
      </c>
      <c r="K9" s="592">
        <f>IF(K7=1,K6/(380/3^0.5),(K6/(380*3^0.5)))</f>
        <v>34.94488471410893</v>
      </c>
      <c r="L9" s="593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65" t="s">
        <v>1618</v>
      </c>
      <c r="E12" s="566"/>
      <c r="F12" s="208"/>
      <c r="G12" s="208"/>
      <c r="I12" s="460" t="s">
        <v>1534</v>
      </c>
      <c r="J12" s="461" t="s">
        <v>9</v>
      </c>
      <c r="K12" s="565"/>
      <c r="L12" s="566"/>
    </row>
    <row r="13" spans="1:12" ht="31.5" customHeight="1">
      <c r="A13" s="204"/>
      <c r="B13" s="468" t="s">
        <v>1380</v>
      </c>
      <c r="C13" s="448" t="s">
        <v>9</v>
      </c>
      <c r="D13" s="569" t="s">
        <v>1619</v>
      </c>
      <c r="E13" s="570"/>
      <c r="F13" s="208"/>
      <c r="G13" s="208"/>
      <c r="I13" s="462" t="s">
        <v>1380</v>
      </c>
      <c r="J13" s="448" t="s">
        <v>9</v>
      </c>
      <c r="K13" s="569"/>
      <c r="L13" s="570"/>
    </row>
    <row r="14" spans="1:12" ht="30.75" customHeight="1">
      <c r="A14" s="204"/>
      <c r="B14" s="468" t="s">
        <v>1535</v>
      </c>
      <c r="C14" s="448" t="s">
        <v>9</v>
      </c>
      <c r="D14" s="577">
        <v>100</v>
      </c>
      <c r="E14" s="578"/>
      <c r="F14" s="436" t="s">
        <v>1453</v>
      </c>
      <c r="G14" s="440">
        <v>50</v>
      </c>
      <c r="I14" s="462" t="s">
        <v>1535</v>
      </c>
      <c r="J14" s="448" t="s">
        <v>9</v>
      </c>
      <c r="K14" s="577"/>
      <c r="L14" s="578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79">
        <v>105</v>
      </c>
      <c r="E16" s="580"/>
      <c r="F16" s="436"/>
      <c r="G16" s="440">
        <v>160</v>
      </c>
      <c r="I16" s="462" t="s">
        <v>1537</v>
      </c>
      <c r="J16" s="448" t="s">
        <v>9</v>
      </c>
      <c r="K16" s="581">
        <f>K9</f>
        <v>34.94488471410893</v>
      </c>
      <c r="L16" s="582"/>
    </row>
    <row r="17" spans="1:12" ht="34.5" customHeight="1">
      <c r="A17" s="204"/>
      <c r="B17" s="468" t="s">
        <v>1538</v>
      </c>
      <c r="C17" s="448" t="s">
        <v>9</v>
      </c>
      <c r="D17" s="571">
        <f>IF(D15=1,D14/(20/3^0.5),(D14/(20*3^0.5)))</f>
        <v>2.8867513459481291</v>
      </c>
      <c r="E17" s="572"/>
      <c r="F17" s="436" t="s">
        <v>1453</v>
      </c>
      <c r="G17" s="441">
        <v>200</v>
      </c>
      <c r="I17" s="462" t="s">
        <v>1538</v>
      </c>
      <c r="J17" s="448" t="s">
        <v>9</v>
      </c>
      <c r="K17" s="575">
        <f>IF(K15=1,K14/(20/3^0.5),(K14/(20*3^0.5)))</f>
        <v>0</v>
      </c>
      <c r="L17" s="576"/>
    </row>
    <row r="18" spans="1:12" ht="34.5" customHeight="1">
      <c r="A18" s="204"/>
      <c r="B18" s="468" t="s">
        <v>1539</v>
      </c>
      <c r="C18" s="448" t="s">
        <v>9</v>
      </c>
      <c r="D18" s="571">
        <f>IF(D15=1,D14/(380/3^0.5),(D14/(380*3^0.5)))*1000</f>
        <v>151.93428136569102</v>
      </c>
      <c r="E18" s="572"/>
      <c r="F18" s="436" t="s">
        <v>1453</v>
      </c>
      <c r="G18" s="441">
        <v>250</v>
      </c>
      <c r="I18" s="462" t="s">
        <v>1539</v>
      </c>
      <c r="J18" s="448" t="s">
        <v>9</v>
      </c>
      <c r="K18" s="575">
        <f>IF(K15=1,K14/(380/3^0.5),(K14/(380*3^0.5)))*1000</f>
        <v>0</v>
      </c>
      <c r="L18" s="576"/>
    </row>
    <row r="19" spans="1:12" ht="30" customHeight="1">
      <c r="A19" s="204"/>
      <c r="B19" s="469" t="s">
        <v>1531</v>
      </c>
      <c r="C19" s="447" t="s">
        <v>9</v>
      </c>
      <c r="D19" s="571">
        <f>IF(D15=1,D14/(380/3^0.5),(D14/(380*3^0.5)))</f>
        <v>0.15193428136569101</v>
      </c>
      <c r="E19" s="572"/>
      <c r="F19" s="207"/>
      <c r="G19" s="432"/>
      <c r="I19" s="464" t="s">
        <v>1531</v>
      </c>
      <c r="J19" s="447" t="s">
        <v>9</v>
      </c>
      <c r="K19" s="575">
        <f>IF(K15=1,K14/(380/3^0.5),(K14/(380*3^0.5)))</f>
        <v>0</v>
      </c>
      <c r="L19" s="576"/>
    </row>
    <row r="20" spans="1:12" ht="30" customHeight="1" thickBot="1">
      <c r="A20" s="204"/>
      <c r="B20" s="470" t="s">
        <v>1540</v>
      </c>
      <c r="C20" s="466" t="s">
        <v>9</v>
      </c>
      <c r="D20" s="567">
        <f>D16/D18</f>
        <v>0.69108827221998193</v>
      </c>
      <c r="E20" s="568"/>
      <c r="F20" s="207"/>
      <c r="G20" s="432"/>
      <c r="I20" s="465" t="s">
        <v>1531</v>
      </c>
      <c r="J20" s="466" t="s">
        <v>9</v>
      </c>
      <c r="K20" s="573" t="e">
        <f>K16/K18</f>
        <v>#DIV/0!</v>
      </c>
      <c r="L20" s="574"/>
    </row>
    <row r="21" spans="1:12" ht="9.75" customHeight="1">
      <c r="A21" s="204"/>
      <c r="B21" s="455" t="s">
        <v>1540</v>
      </c>
      <c r="C21" s="456" t="s">
        <v>9</v>
      </c>
      <c r="D21" s="552">
        <v>1</v>
      </c>
      <c r="E21" s="552"/>
      <c r="F21" s="457"/>
      <c r="G21" s="458"/>
      <c r="H21" s="459"/>
      <c r="I21" s="455" t="s">
        <v>1531</v>
      </c>
      <c r="J21" s="456" t="s">
        <v>9</v>
      </c>
      <c r="K21" s="552">
        <v>1</v>
      </c>
      <c r="L21" s="552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49"/>
      <c r="C24" s="550"/>
      <c r="D24" s="550"/>
      <c r="E24" s="551"/>
      <c r="I24" s="549"/>
      <c r="J24" s="550"/>
      <c r="K24" s="550"/>
      <c r="L24" s="551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4" zoomScaleNormal="100" workbookViewId="0">
      <selection activeCell="F13" sqref="F13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4"/>
      <c r="C1" s="594"/>
      <c r="D1" s="594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22287000</v>
      </c>
    </row>
    <row r="10" spans="2:11" ht="20.100000000000001" customHeight="1">
      <c r="B10" s="291" t="s">
        <v>1446</v>
      </c>
      <c r="C10" s="292" t="s">
        <v>9</v>
      </c>
      <c r="D10" s="298">
        <f ca="1">RAB!K52</f>
        <v>23517711.191999998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470354.22383999999</v>
      </c>
    </row>
    <row r="12" spans="2:11" ht="9" customHeight="1">
      <c r="B12" s="595"/>
      <c r="C12" s="595"/>
      <c r="D12" s="595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1617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1615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/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23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13" sqref="K13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596" t="s">
        <v>1357</v>
      </c>
      <c r="C3" s="596"/>
      <c r="D3" s="596"/>
      <c r="E3" s="596"/>
      <c r="F3" s="305" t="str">
        <f>DATA!D14</f>
        <v>ALFAMART SULUR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7" t="s">
        <v>1349</v>
      </c>
      <c r="C5" s="597" t="s">
        <v>1358</v>
      </c>
      <c r="D5" s="598" t="s">
        <v>1359</v>
      </c>
      <c r="E5" s="598" t="s">
        <v>1360</v>
      </c>
      <c r="F5" s="597" t="s">
        <v>1361</v>
      </c>
      <c r="G5" s="597"/>
      <c r="H5" s="597"/>
      <c r="I5" s="597"/>
      <c r="J5" s="597"/>
      <c r="K5" s="597" t="s">
        <v>1362</v>
      </c>
      <c r="L5" s="597"/>
      <c r="M5" s="307"/>
      <c r="N5" s="601" t="s">
        <v>1363</v>
      </c>
      <c r="O5" s="598" t="s">
        <v>1364</v>
      </c>
      <c r="P5" s="598" t="s">
        <v>1365</v>
      </c>
      <c r="Q5" s="598" t="s">
        <v>1366</v>
      </c>
      <c r="R5" s="308"/>
      <c r="S5" s="309"/>
      <c r="T5" s="599" t="s">
        <v>1367</v>
      </c>
      <c r="U5" s="310"/>
    </row>
    <row r="6" spans="1:21" ht="20.100000000000001" customHeight="1">
      <c r="B6" s="597"/>
      <c r="C6" s="597"/>
      <c r="D6" s="597"/>
      <c r="E6" s="59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2"/>
      <c r="O6" s="597"/>
      <c r="P6" s="597"/>
      <c r="Q6" s="597"/>
      <c r="R6" s="308"/>
      <c r="S6" s="309"/>
      <c r="T6" s="597"/>
      <c r="U6" s="312"/>
    </row>
    <row r="7" spans="1:21" ht="20.100000000000001" customHeight="1">
      <c r="A7" s="313">
        <v>0</v>
      </c>
      <c r="B7" s="314">
        <v>2023</v>
      </c>
      <c r="C7" s="471">
        <f>DATA!D8*DATA!D26*2</f>
        <v>1840</v>
      </c>
      <c r="D7" s="316">
        <f>C7*4/24</f>
        <v>306.66666666666669</v>
      </c>
      <c r="E7" s="316">
        <f>C7-D7</f>
        <v>1533.3333333333333</v>
      </c>
      <c r="F7" s="317">
        <f ca="1">DATA!D10/1000000</f>
        <v>23.517711191999997</v>
      </c>
      <c r="G7" s="318">
        <f ca="1">DATA!$D$11/1000000</f>
        <v>0.47035422383999997</v>
      </c>
      <c r="H7" s="318">
        <f>C7*DATA!$D$5/1000000</f>
        <v>1.9947900844313147</v>
      </c>
      <c r="I7" s="318">
        <f>(C7*DATA!$D$5*DATA!$D$7)/1000000</f>
        <v>4.4882776899704581E-2</v>
      </c>
      <c r="J7" s="316">
        <f ca="1">SUM(F7:I7)</f>
        <v>26.027738277171018</v>
      </c>
      <c r="K7" s="319">
        <f>DATA!D9/1000000</f>
        <v>22.286999999999999</v>
      </c>
      <c r="L7" s="316">
        <f>((D7*DATA!$D$23)/1000000)+((E7*DATA!$D$24)/1000000)</f>
        <v>2.6582479999999999</v>
      </c>
      <c r="M7" s="316">
        <f>K7+L7</f>
        <v>24.945247999999999</v>
      </c>
      <c r="N7" s="316">
        <f ca="1">M7-J7</f>
        <v>-1.0824902771710185</v>
      </c>
      <c r="O7" s="314">
        <v>1</v>
      </c>
      <c r="P7" s="316">
        <f ca="1">O7*N7</f>
        <v>-1.0824902771710185</v>
      </c>
      <c r="Q7" s="316">
        <f ca="1">P7</f>
        <v>-1.0824902771710185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11040</v>
      </c>
      <c r="D8" s="316">
        <f>C8*4/24</f>
        <v>1840</v>
      </c>
      <c r="E8" s="316">
        <f t="shared" ref="E8:E32" si="0">C8-D8</f>
        <v>9200</v>
      </c>
      <c r="F8" s="314"/>
      <c r="G8" s="318">
        <f ca="1">DATA!$D$11/1000000</f>
        <v>0.47035422383999997</v>
      </c>
      <c r="H8" s="318">
        <f>C8*DATA!$D$5/1000000</f>
        <v>11.968740506587888</v>
      </c>
      <c r="I8" s="318">
        <f>(C8*DATA!$D$5*DATA!$D$7)/1000000</f>
        <v>0.2692966613982275</v>
      </c>
      <c r="J8" s="316">
        <f t="shared" ref="J8:J32" ca="1" si="1">SUM(F8:I8)</f>
        <v>12.708391391826115</v>
      </c>
      <c r="K8" s="321"/>
      <c r="L8" s="316">
        <f>((D8*DATA!$D$23)/1000000)+((E8*DATA!$D$24)/1000000)</f>
        <v>15.949488000000001</v>
      </c>
      <c r="M8" s="316">
        <f t="shared" ref="M8:M32" si="2">K8+L8</f>
        <v>15.949488000000001</v>
      </c>
      <c r="N8" s="316">
        <f ca="1">M8-J8</f>
        <v>3.2410966081738852</v>
      </c>
      <c r="O8" s="315">
        <f>1/(1+'[92]Asumsi I'!$C$3)^(KKF!A8)</f>
        <v>0.89285714285714279</v>
      </c>
      <c r="P8" s="316">
        <f ca="1">O8*N8</f>
        <v>2.8938362572981116</v>
      </c>
      <c r="Q8" s="316">
        <f ca="1">Q7+P8</f>
        <v>1.811345980127093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11040</v>
      </c>
      <c r="D9" s="316">
        <f t="shared" ref="D9:D32" si="5">C9*4/24</f>
        <v>1840</v>
      </c>
      <c r="E9" s="316">
        <f t="shared" si="0"/>
        <v>9200</v>
      </c>
      <c r="F9" s="314"/>
      <c r="G9" s="318">
        <f ca="1">DATA!$D$11/1000000</f>
        <v>0.47035422383999997</v>
      </c>
      <c r="H9" s="318">
        <f>C9*DATA!$D$5/1000000</f>
        <v>11.968740506587888</v>
      </c>
      <c r="I9" s="318">
        <f>(C9*DATA!$D$5*DATA!$D$7)/1000000</f>
        <v>0.2692966613982275</v>
      </c>
      <c r="J9" s="316">
        <f t="shared" ca="1" si="1"/>
        <v>12.708391391826115</v>
      </c>
      <c r="K9" s="316"/>
      <c r="L9" s="316">
        <f>((D9*DATA!$D$23)/1000000)+((E9*DATA!$D$24)/1000000)</f>
        <v>15.949488000000001</v>
      </c>
      <c r="M9" s="316">
        <f t="shared" si="2"/>
        <v>15.949488000000001</v>
      </c>
      <c r="N9" s="316">
        <f t="shared" ref="N9:N32" ca="1" si="6">M9-J9</f>
        <v>3.2410966081738852</v>
      </c>
      <c r="O9" s="322">
        <f>1/(1+'[92]Asumsi I'!$C$3)^(KKF!A9)</f>
        <v>0.79719387755102034</v>
      </c>
      <c r="P9" s="316">
        <f t="shared" ref="P9:P32" ca="1" si="7">O9*N9</f>
        <v>2.5837823725875997</v>
      </c>
      <c r="Q9" s="316">
        <f ca="1">Q8+P9</f>
        <v>4.3951283527146927</v>
      </c>
      <c r="S9" s="304" t="str">
        <f t="shared" ca="1" si="3"/>
        <v/>
      </c>
      <c r="T9" s="320">
        <f ca="1">IF(Q7&gt;=0,"",IF(Q9&lt;0,"",IF(Q9=0,A9,(A9-(Q9/N9)))))</f>
        <v>0.64393787533811975</v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11040</v>
      </c>
      <c r="D10" s="316">
        <f t="shared" si="5"/>
        <v>1840</v>
      </c>
      <c r="E10" s="316">
        <f t="shared" si="0"/>
        <v>9200</v>
      </c>
      <c r="F10" s="314"/>
      <c r="G10" s="318">
        <f ca="1">DATA!$D$11/1000000</f>
        <v>0.47035422383999997</v>
      </c>
      <c r="H10" s="318">
        <f>C10*DATA!$D$5/1000000</f>
        <v>11.968740506587888</v>
      </c>
      <c r="I10" s="318">
        <f>(C10*DATA!$D$5*DATA!$D$7)/1000000</f>
        <v>0.2692966613982275</v>
      </c>
      <c r="J10" s="316">
        <f t="shared" ca="1" si="1"/>
        <v>12.708391391826115</v>
      </c>
      <c r="K10" s="314"/>
      <c r="L10" s="316">
        <f>((D10*DATA!$D$23)/1000000)+((E10*DATA!$D$24)/1000000)</f>
        <v>15.949488000000001</v>
      </c>
      <c r="M10" s="316">
        <f t="shared" si="2"/>
        <v>15.949488000000001</v>
      </c>
      <c r="N10" s="316">
        <f t="shared" ca="1" si="6"/>
        <v>3.2410966081738852</v>
      </c>
      <c r="O10" s="315">
        <f>1/(1+'[92]Asumsi I'!$C$3)^(KKF!A10)</f>
        <v>0.71178024781341087</v>
      </c>
      <c r="P10" s="316">
        <f t="shared" ca="1" si="7"/>
        <v>2.3069485469532136</v>
      </c>
      <c r="Q10" s="316">
        <f t="shared" ref="Q10:Q30" ca="1" si="9">Q9+P10</f>
        <v>6.7020768996679063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11040</v>
      </c>
      <c r="D11" s="316">
        <f t="shared" si="5"/>
        <v>1840</v>
      </c>
      <c r="E11" s="316">
        <f t="shared" si="0"/>
        <v>9200</v>
      </c>
      <c r="F11" s="314"/>
      <c r="G11" s="318">
        <f ca="1">DATA!$D$11/1000000</f>
        <v>0.47035422383999997</v>
      </c>
      <c r="H11" s="318">
        <f>C11*DATA!$D$5/1000000</f>
        <v>11.968740506587888</v>
      </c>
      <c r="I11" s="318">
        <f>(C11*DATA!$D$5*DATA!$D$7)/1000000</f>
        <v>0.2692966613982275</v>
      </c>
      <c r="J11" s="316">
        <f t="shared" ca="1" si="1"/>
        <v>12.708391391826115</v>
      </c>
      <c r="K11" s="314"/>
      <c r="L11" s="316">
        <f>((D11*DATA!$D$23)/1000000)+((E11*DATA!$D$24)/1000000)</f>
        <v>15.949488000000001</v>
      </c>
      <c r="M11" s="316">
        <f t="shared" si="2"/>
        <v>15.949488000000001</v>
      </c>
      <c r="N11" s="316">
        <f t="shared" ca="1" si="6"/>
        <v>3.2410966081738852</v>
      </c>
      <c r="O11" s="315">
        <f>1/(1+'[92]Asumsi I'!$C$3)^(KKF!A11)</f>
        <v>0.63551807840483121</v>
      </c>
      <c r="P11" s="316">
        <f t="shared" ca="1" si="7"/>
        <v>2.0597754883510837</v>
      </c>
      <c r="Q11" s="316">
        <f t="shared" ca="1" si="9"/>
        <v>8.7618523880189905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11040</v>
      </c>
      <c r="D12" s="316">
        <f t="shared" si="5"/>
        <v>1840</v>
      </c>
      <c r="E12" s="316">
        <f t="shared" si="0"/>
        <v>9200</v>
      </c>
      <c r="F12" s="314"/>
      <c r="G12" s="318">
        <f ca="1">DATA!$D$11/1000000</f>
        <v>0.47035422383999997</v>
      </c>
      <c r="H12" s="318">
        <f>C12*DATA!$D$5/1000000</f>
        <v>11.968740506587888</v>
      </c>
      <c r="I12" s="318">
        <f>(C12*DATA!$D$5*DATA!$D$7)/1000000</f>
        <v>0.2692966613982275</v>
      </c>
      <c r="J12" s="316">
        <f t="shared" ca="1" si="1"/>
        <v>12.708391391826115</v>
      </c>
      <c r="K12" s="314"/>
      <c r="L12" s="316">
        <f>((D12*DATA!$D$23)/1000000)+((E12*DATA!$D$24)/1000000)</f>
        <v>15.949488000000001</v>
      </c>
      <c r="M12" s="316">
        <f t="shared" si="2"/>
        <v>15.949488000000001</v>
      </c>
      <c r="N12" s="316">
        <f t="shared" ca="1" si="6"/>
        <v>3.2410966081738852</v>
      </c>
      <c r="O12" s="315">
        <f>1/(1+'[92]Asumsi I'!$C$3)^(KKF!A12)</f>
        <v>0.56742685571859919</v>
      </c>
      <c r="P12" s="316">
        <f t="shared" ca="1" si="7"/>
        <v>1.8390852574563243</v>
      </c>
      <c r="Q12" s="316">
        <f t="shared" ca="1" si="9"/>
        <v>10.600937645475314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11040</v>
      </c>
      <c r="D13" s="316">
        <f t="shared" si="5"/>
        <v>1840</v>
      </c>
      <c r="E13" s="316">
        <f t="shared" si="0"/>
        <v>9200</v>
      </c>
      <c r="F13" s="314"/>
      <c r="G13" s="318">
        <f ca="1">DATA!$D$11/1000000</f>
        <v>0.47035422383999997</v>
      </c>
      <c r="H13" s="318">
        <f>C13*DATA!$D$5/1000000</f>
        <v>11.968740506587888</v>
      </c>
      <c r="I13" s="318">
        <f>(C13*DATA!$D$5*DATA!$D$7)/1000000</f>
        <v>0.2692966613982275</v>
      </c>
      <c r="J13" s="316">
        <f t="shared" ca="1" si="1"/>
        <v>12.708391391826115</v>
      </c>
      <c r="K13" s="314"/>
      <c r="L13" s="316">
        <f>((D13*DATA!$D$23)/1000000)+((E13*DATA!$D$24)/1000000)</f>
        <v>15.949488000000001</v>
      </c>
      <c r="M13" s="316">
        <f t="shared" si="2"/>
        <v>15.949488000000001</v>
      </c>
      <c r="N13" s="316">
        <f t="shared" ca="1" si="6"/>
        <v>3.2410966081738852</v>
      </c>
      <c r="O13" s="315">
        <f>1/(1+'[92]Asumsi I'!$C$3)^(KKF!A13)</f>
        <v>0.50663112117732068</v>
      </c>
      <c r="P13" s="316">
        <f t="shared" ca="1" si="7"/>
        <v>1.6420404084431466</v>
      </c>
      <c r="Q13" s="316">
        <f t="shared" ca="1" si="9"/>
        <v>12.24297805391846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11040</v>
      </c>
      <c r="D14" s="316">
        <f t="shared" si="5"/>
        <v>1840</v>
      </c>
      <c r="E14" s="316">
        <f t="shared" si="0"/>
        <v>9200</v>
      </c>
      <c r="F14" s="314"/>
      <c r="G14" s="318">
        <f ca="1">DATA!$D$11/1000000</f>
        <v>0.47035422383999997</v>
      </c>
      <c r="H14" s="318">
        <f>C14*DATA!$D$5/1000000</f>
        <v>11.968740506587888</v>
      </c>
      <c r="I14" s="318">
        <f>(C14*DATA!$D$5*DATA!$D$7)/1000000</f>
        <v>0.2692966613982275</v>
      </c>
      <c r="J14" s="316">
        <f t="shared" ca="1" si="1"/>
        <v>12.708391391826115</v>
      </c>
      <c r="K14" s="314"/>
      <c r="L14" s="316">
        <f>((D14*DATA!$D$23)/1000000)+((E14*DATA!$D$24)/1000000)</f>
        <v>15.949488000000001</v>
      </c>
      <c r="M14" s="316">
        <f t="shared" si="2"/>
        <v>15.949488000000001</v>
      </c>
      <c r="N14" s="316">
        <f t="shared" ca="1" si="6"/>
        <v>3.2410966081738852</v>
      </c>
      <c r="O14" s="315">
        <f>1/(1+'[92]Asumsi I'!$C$3)^(KKF!A14)</f>
        <v>0.45234921533689343</v>
      </c>
      <c r="P14" s="316">
        <f t="shared" ca="1" si="7"/>
        <v>1.4661075075385237</v>
      </c>
      <c r="Q14" s="316">
        <f t="shared" ca="1" si="9"/>
        <v>13.709085561456984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11040</v>
      </c>
      <c r="D15" s="316">
        <f t="shared" si="5"/>
        <v>1840</v>
      </c>
      <c r="E15" s="316">
        <f t="shared" si="0"/>
        <v>9200</v>
      </c>
      <c r="F15" s="314"/>
      <c r="G15" s="318">
        <f ca="1">DATA!$D$11/1000000</f>
        <v>0.47035422383999997</v>
      </c>
      <c r="H15" s="318">
        <f>C15*DATA!$D$5/1000000</f>
        <v>11.968740506587888</v>
      </c>
      <c r="I15" s="318">
        <f>(C15*DATA!$D$5*DATA!$D$7)/1000000</f>
        <v>0.2692966613982275</v>
      </c>
      <c r="J15" s="316">
        <f t="shared" ca="1" si="1"/>
        <v>12.708391391826115</v>
      </c>
      <c r="K15" s="314"/>
      <c r="L15" s="316">
        <f>((D15*DATA!$D$23)/1000000)+((E15*DATA!$D$24)/1000000)</f>
        <v>15.949488000000001</v>
      </c>
      <c r="M15" s="316">
        <f t="shared" si="2"/>
        <v>15.949488000000001</v>
      </c>
      <c r="N15" s="316">
        <f t="shared" ca="1" si="6"/>
        <v>3.2410966081738852</v>
      </c>
      <c r="O15" s="315">
        <f>1/(1+'[92]Asumsi I'!$C$3)^(KKF!A15)</f>
        <v>0.4038832279793691</v>
      </c>
      <c r="P15" s="316">
        <f t="shared" ca="1" si="7"/>
        <v>1.3090245603022532</v>
      </c>
      <c r="Q15" s="316">
        <f t="shared" ca="1" si="9"/>
        <v>15.018110121759237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11040</v>
      </c>
      <c r="D16" s="316">
        <f t="shared" si="5"/>
        <v>1840</v>
      </c>
      <c r="E16" s="316">
        <f t="shared" si="0"/>
        <v>9200</v>
      </c>
      <c r="F16" s="314"/>
      <c r="G16" s="318">
        <f ca="1">DATA!$D$11/1000000</f>
        <v>0.47035422383999997</v>
      </c>
      <c r="H16" s="318">
        <f>C16*DATA!$D$5/1000000</f>
        <v>11.968740506587888</v>
      </c>
      <c r="I16" s="318">
        <f>(C16*DATA!$D$5*DATA!$D$7)/1000000</f>
        <v>0.2692966613982275</v>
      </c>
      <c r="J16" s="316">
        <f t="shared" ca="1" si="1"/>
        <v>12.708391391826115</v>
      </c>
      <c r="K16" s="314"/>
      <c r="L16" s="316">
        <f>((D16*DATA!$D$23)/1000000)+((E16*DATA!$D$24)/1000000)</f>
        <v>15.949488000000001</v>
      </c>
      <c r="M16" s="316">
        <f t="shared" si="2"/>
        <v>15.949488000000001</v>
      </c>
      <c r="N16" s="316">
        <f t="shared" ca="1" si="6"/>
        <v>3.2410966081738852</v>
      </c>
      <c r="O16" s="315">
        <f>1/(1+'[92]Asumsi I'!$C$3)^(KKF!A16)</f>
        <v>0.36061002498157957</v>
      </c>
      <c r="P16" s="316">
        <f t="shared" ca="1" si="7"/>
        <v>1.1687719288412977</v>
      </c>
      <c r="Q16" s="316">
        <f t="shared" ca="1" si="9"/>
        <v>16.186882050600534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11040</v>
      </c>
      <c r="D17" s="316">
        <f t="shared" si="5"/>
        <v>1840</v>
      </c>
      <c r="E17" s="316">
        <f t="shared" si="0"/>
        <v>9200</v>
      </c>
      <c r="F17" s="314"/>
      <c r="G17" s="318">
        <f ca="1">DATA!$D$11/1000000</f>
        <v>0.47035422383999997</v>
      </c>
      <c r="H17" s="318">
        <f>C17*DATA!$D$5/1000000</f>
        <v>11.968740506587888</v>
      </c>
      <c r="I17" s="318">
        <f>(C17*DATA!$D$5*DATA!$D$7)/1000000</f>
        <v>0.2692966613982275</v>
      </c>
      <c r="J17" s="316">
        <f t="shared" ca="1" si="1"/>
        <v>12.708391391826115</v>
      </c>
      <c r="K17" s="314"/>
      <c r="L17" s="316">
        <f>((D17*DATA!$D$23)/1000000)+((E17*DATA!$D$24)/1000000)</f>
        <v>15.949488000000001</v>
      </c>
      <c r="M17" s="316">
        <f t="shared" si="2"/>
        <v>15.949488000000001</v>
      </c>
      <c r="N17" s="316">
        <f t="shared" ca="1" si="6"/>
        <v>3.2410966081738852</v>
      </c>
      <c r="O17" s="315">
        <f>1/(1+'[92]Asumsi I'!$C$3)^(KKF!A17)</f>
        <v>0.32197323659069599</v>
      </c>
      <c r="P17" s="316">
        <f t="shared" ca="1" si="7"/>
        <v>1.0435463650368726</v>
      </c>
      <c r="Q17" s="316">
        <f t="shared" ca="1" si="9"/>
        <v>17.230428415637405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11040</v>
      </c>
      <c r="D18" s="316">
        <f t="shared" si="5"/>
        <v>1840</v>
      </c>
      <c r="E18" s="316">
        <f t="shared" si="0"/>
        <v>9200</v>
      </c>
      <c r="F18" s="314"/>
      <c r="G18" s="318">
        <f ca="1">DATA!$D$11/1000000</f>
        <v>0.47035422383999997</v>
      </c>
      <c r="H18" s="318">
        <f>C18*DATA!$D$5/1000000</f>
        <v>11.968740506587888</v>
      </c>
      <c r="I18" s="318">
        <f>(C18*DATA!$D$5*DATA!$D$7)/1000000</f>
        <v>0.2692966613982275</v>
      </c>
      <c r="J18" s="316">
        <f t="shared" ca="1" si="1"/>
        <v>12.708391391826115</v>
      </c>
      <c r="K18" s="314"/>
      <c r="L18" s="316">
        <f>((D18*DATA!$D$23)/1000000)+((E18*DATA!$D$24)/1000000)</f>
        <v>15.949488000000001</v>
      </c>
      <c r="M18" s="316">
        <f t="shared" si="2"/>
        <v>15.949488000000001</v>
      </c>
      <c r="N18" s="316">
        <f t="shared" ca="1" si="6"/>
        <v>3.2410966081738852</v>
      </c>
      <c r="O18" s="315">
        <f>1/(1+'[92]Asumsi I'!$C$3)^(KKF!A18)</f>
        <v>0.28747610409883567</v>
      </c>
      <c r="P18" s="316">
        <f t="shared" ca="1" si="7"/>
        <v>0.93173782592577903</v>
      </c>
      <c r="Q18" s="316">
        <f t="shared" ca="1" si="9"/>
        <v>18.162166241563185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11040</v>
      </c>
      <c r="D19" s="316">
        <f t="shared" si="5"/>
        <v>1840</v>
      </c>
      <c r="E19" s="316">
        <f t="shared" si="0"/>
        <v>9200</v>
      </c>
      <c r="F19" s="314"/>
      <c r="G19" s="318">
        <f ca="1">DATA!$D$11/1000000</f>
        <v>0.47035422383999997</v>
      </c>
      <c r="H19" s="318">
        <f>C19*DATA!$D$5/1000000</f>
        <v>11.968740506587888</v>
      </c>
      <c r="I19" s="318">
        <f>(C19*DATA!$D$5*DATA!$D$7)/1000000</f>
        <v>0.2692966613982275</v>
      </c>
      <c r="J19" s="316">
        <f t="shared" ca="1" si="1"/>
        <v>12.708391391826115</v>
      </c>
      <c r="K19" s="314"/>
      <c r="L19" s="316">
        <f>((D19*DATA!$D$23)/1000000)+((E19*DATA!$D$24)/1000000)</f>
        <v>15.949488000000001</v>
      </c>
      <c r="M19" s="316">
        <f t="shared" si="2"/>
        <v>15.949488000000001</v>
      </c>
      <c r="N19" s="316">
        <f t="shared" ca="1" si="6"/>
        <v>3.2410966081738852</v>
      </c>
      <c r="O19" s="315">
        <f>1/(1+'[92]Asumsi I'!$C$3)^(KKF!A19)</f>
        <v>0.25667509294538904</v>
      </c>
      <c r="P19" s="316">
        <f t="shared" ca="1" si="7"/>
        <v>0.83190877314801714</v>
      </c>
      <c r="Q19" s="316">
        <f t="shared" ca="1" si="9"/>
        <v>18.994075014711203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11040</v>
      </c>
      <c r="D20" s="316">
        <f t="shared" si="5"/>
        <v>1840</v>
      </c>
      <c r="E20" s="316">
        <f t="shared" si="0"/>
        <v>9200</v>
      </c>
      <c r="F20" s="314"/>
      <c r="G20" s="318">
        <f ca="1">DATA!$D$11/1000000</f>
        <v>0.47035422383999997</v>
      </c>
      <c r="H20" s="318">
        <f>C20*DATA!$D$5/1000000</f>
        <v>11.968740506587888</v>
      </c>
      <c r="I20" s="318">
        <f>(C20*DATA!$D$5*DATA!$D$7)/1000000</f>
        <v>0.2692966613982275</v>
      </c>
      <c r="J20" s="316">
        <f t="shared" ca="1" si="1"/>
        <v>12.708391391826115</v>
      </c>
      <c r="K20" s="314"/>
      <c r="L20" s="316">
        <f>((D20*DATA!$D$23)/1000000)+((E20*DATA!$D$24)/1000000)</f>
        <v>15.949488000000001</v>
      </c>
      <c r="M20" s="316">
        <f t="shared" si="2"/>
        <v>15.949488000000001</v>
      </c>
      <c r="N20" s="316">
        <f t="shared" ca="1" si="6"/>
        <v>3.2410966081738852</v>
      </c>
      <c r="O20" s="315">
        <f>1/(1+'[92]Asumsi I'!$C$3)^(KKF!A20)</f>
        <v>0.22917419012981158</v>
      </c>
      <c r="P20" s="316">
        <f t="shared" ca="1" si="7"/>
        <v>0.74277569031072943</v>
      </c>
      <c r="Q20" s="316">
        <f t="shared" ca="1" si="9"/>
        <v>19.736850705021933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11040</v>
      </c>
      <c r="D21" s="316">
        <f t="shared" si="5"/>
        <v>1840</v>
      </c>
      <c r="E21" s="316">
        <f t="shared" si="0"/>
        <v>9200</v>
      </c>
      <c r="F21" s="314"/>
      <c r="G21" s="318">
        <f ca="1">DATA!$D$11/1000000</f>
        <v>0.47035422383999997</v>
      </c>
      <c r="H21" s="318">
        <f>C21*DATA!$D$5/1000000</f>
        <v>11.968740506587888</v>
      </c>
      <c r="I21" s="318">
        <f>(C21*DATA!$D$5*DATA!$D$7)/1000000</f>
        <v>0.2692966613982275</v>
      </c>
      <c r="J21" s="316">
        <f t="shared" ca="1" si="1"/>
        <v>12.708391391826115</v>
      </c>
      <c r="K21" s="314"/>
      <c r="L21" s="316">
        <f>((D21*DATA!$D$23)/1000000)+((E21*DATA!$D$24)/1000000)</f>
        <v>15.949488000000001</v>
      </c>
      <c r="M21" s="316">
        <f t="shared" si="2"/>
        <v>15.949488000000001</v>
      </c>
      <c r="N21" s="316">
        <f t="shared" ca="1" si="6"/>
        <v>3.2410966081738852</v>
      </c>
      <c r="O21" s="315">
        <f>1/(1+'[92]Asumsi I'!$C$3)^(KKF!A21)</f>
        <v>0.20461981261590317</v>
      </c>
      <c r="P21" s="316">
        <f t="shared" ca="1" si="7"/>
        <v>0.66319258063457975</v>
      </c>
      <c r="Q21" s="316">
        <f t="shared" ca="1" si="9"/>
        <v>20.400043285656512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11040</v>
      </c>
      <c r="D22" s="316">
        <f t="shared" si="5"/>
        <v>1840</v>
      </c>
      <c r="E22" s="316">
        <f t="shared" si="0"/>
        <v>9200</v>
      </c>
      <c r="F22" s="314"/>
      <c r="G22" s="318">
        <f ca="1">DATA!$D$11/1000000</f>
        <v>0.47035422383999997</v>
      </c>
      <c r="H22" s="318">
        <f>C22*DATA!$D$5/1000000</f>
        <v>11.968740506587888</v>
      </c>
      <c r="I22" s="318">
        <f>(C22*DATA!$D$5*DATA!$D$7)/1000000</f>
        <v>0.2692966613982275</v>
      </c>
      <c r="J22" s="316">
        <f t="shared" ca="1" si="1"/>
        <v>12.708391391826115</v>
      </c>
      <c r="K22" s="314"/>
      <c r="L22" s="316">
        <f>((D22*DATA!$D$23)/1000000)+((E22*DATA!$D$24)/1000000)</f>
        <v>15.949488000000001</v>
      </c>
      <c r="M22" s="316">
        <f t="shared" si="2"/>
        <v>15.949488000000001</v>
      </c>
      <c r="N22" s="316">
        <f t="shared" ca="1" si="6"/>
        <v>3.2410966081738852</v>
      </c>
      <c r="O22" s="315">
        <f>1/(1+'[92]Asumsi I'!$C$3)^(KKF!A22)</f>
        <v>0.18269626126419927</v>
      </c>
      <c r="P22" s="316">
        <f t="shared" ca="1" si="7"/>
        <v>0.59213623270944626</v>
      </c>
      <c r="Q22" s="316">
        <f t="shared" ca="1" si="9"/>
        <v>20.992179518365958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11040</v>
      </c>
      <c r="D23" s="316">
        <f t="shared" si="5"/>
        <v>1840</v>
      </c>
      <c r="E23" s="316">
        <f t="shared" si="0"/>
        <v>9200</v>
      </c>
      <c r="F23" s="314"/>
      <c r="G23" s="318">
        <f ca="1">DATA!$D$11/1000000</f>
        <v>0.47035422383999997</v>
      </c>
      <c r="H23" s="318">
        <f>C23*DATA!$D$5/1000000</f>
        <v>11.968740506587888</v>
      </c>
      <c r="I23" s="318">
        <f>(C23*DATA!$D$5*DATA!$D$7)/1000000</f>
        <v>0.2692966613982275</v>
      </c>
      <c r="J23" s="316">
        <f t="shared" ca="1" si="1"/>
        <v>12.708391391826115</v>
      </c>
      <c r="K23" s="314"/>
      <c r="L23" s="316">
        <f>((D23*DATA!$D$23)/1000000)+((E23*DATA!$D$24)/1000000)</f>
        <v>15.949488000000001</v>
      </c>
      <c r="M23" s="316">
        <f t="shared" si="2"/>
        <v>15.949488000000001</v>
      </c>
      <c r="N23" s="316">
        <f t="shared" ca="1" si="6"/>
        <v>3.2410966081738852</v>
      </c>
      <c r="O23" s="315">
        <f>1/(1+'[92]Asumsi I'!$C$3)^(KKF!A23)</f>
        <v>0.16312166184303503</v>
      </c>
      <c r="P23" s="316">
        <f t="shared" ca="1" si="7"/>
        <v>0.52869306491914836</v>
      </c>
      <c r="Q23" s="316">
        <f t="shared" ca="1" si="9"/>
        <v>21.520872583285108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11040</v>
      </c>
      <c r="D24" s="316">
        <f t="shared" si="5"/>
        <v>1840</v>
      </c>
      <c r="E24" s="316">
        <f t="shared" si="0"/>
        <v>9200</v>
      </c>
      <c r="F24" s="314"/>
      <c r="G24" s="318">
        <f ca="1">DATA!$D$11/1000000</f>
        <v>0.47035422383999997</v>
      </c>
      <c r="H24" s="318">
        <f>C24*DATA!$D$5/1000000</f>
        <v>11.968740506587888</v>
      </c>
      <c r="I24" s="318">
        <f>(C24*DATA!$D$5*DATA!$D$7)/1000000</f>
        <v>0.2692966613982275</v>
      </c>
      <c r="J24" s="316">
        <f t="shared" ca="1" si="1"/>
        <v>12.708391391826115</v>
      </c>
      <c r="K24" s="314"/>
      <c r="L24" s="316">
        <f>((D24*DATA!$D$23)/1000000)+((E24*DATA!$D$24)/1000000)</f>
        <v>15.949488000000001</v>
      </c>
      <c r="M24" s="316">
        <f t="shared" si="2"/>
        <v>15.949488000000001</v>
      </c>
      <c r="N24" s="316">
        <f t="shared" ca="1" si="6"/>
        <v>3.2410966081738852</v>
      </c>
      <c r="O24" s="315">
        <f>1/(1+'[92]Asumsi I'!$C$3)^(KKF!A24)</f>
        <v>0.14564434093128129</v>
      </c>
      <c r="P24" s="316">
        <f t="shared" ca="1" si="7"/>
        <v>0.47204737939209673</v>
      </c>
      <c r="Q24" s="316">
        <f t="shared" ca="1" si="9"/>
        <v>21.992919962677206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11040</v>
      </c>
      <c r="D25" s="316">
        <f t="shared" si="5"/>
        <v>1840</v>
      </c>
      <c r="E25" s="316">
        <f t="shared" si="0"/>
        <v>9200</v>
      </c>
      <c r="F25" s="314"/>
      <c r="G25" s="318">
        <f ca="1">DATA!$D$11/1000000</f>
        <v>0.47035422383999997</v>
      </c>
      <c r="H25" s="318">
        <f>C25*DATA!$D$5/1000000</f>
        <v>11.968740506587888</v>
      </c>
      <c r="I25" s="318">
        <f>(C25*DATA!$D$5*DATA!$D$7)/1000000</f>
        <v>0.2692966613982275</v>
      </c>
      <c r="J25" s="316">
        <f t="shared" ca="1" si="1"/>
        <v>12.708391391826115</v>
      </c>
      <c r="K25" s="314"/>
      <c r="L25" s="316">
        <f>((D25*DATA!$D$23)/1000000)+((E25*DATA!$D$24)/1000000)</f>
        <v>15.949488000000001</v>
      </c>
      <c r="M25" s="316">
        <f t="shared" si="2"/>
        <v>15.949488000000001</v>
      </c>
      <c r="N25" s="316">
        <f t="shared" ca="1" si="6"/>
        <v>3.2410966081738852</v>
      </c>
      <c r="O25" s="315">
        <f>1/(1+'[92]Asumsi I'!$C$3)^(KKF!A25)</f>
        <v>0.13003959011721541</v>
      </c>
      <c r="P25" s="316">
        <f t="shared" ca="1" si="7"/>
        <v>0.42147087445722914</v>
      </c>
      <c r="Q25" s="316">
        <f t="shared" ca="1" si="9"/>
        <v>22.414390837134434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11040</v>
      </c>
      <c r="D26" s="316">
        <f t="shared" si="5"/>
        <v>1840</v>
      </c>
      <c r="E26" s="316">
        <f t="shared" si="0"/>
        <v>9200</v>
      </c>
      <c r="F26" s="314"/>
      <c r="G26" s="318">
        <f ca="1">DATA!$D$11/1000000</f>
        <v>0.47035422383999997</v>
      </c>
      <c r="H26" s="318">
        <f>C26*DATA!$D$5/1000000</f>
        <v>11.968740506587888</v>
      </c>
      <c r="I26" s="318">
        <f>(C26*DATA!$D$5*DATA!$D$7)/1000000</f>
        <v>0.2692966613982275</v>
      </c>
      <c r="J26" s="316">
        <f t="shared" ca="1" si="1"/>
        <v>12.708391391826115</v>
      </c>
      <c r="K26" s="314"/>
      <c r="L26" s="316">
        <f>((D26*DATA!$D$23)/1000000)+((E26*DATA!$D$24)/1000000)</f>
        <v>15.949488000000001</v>
      </c>
      <c r="M26" s="316">
        <f t="shared" si="2"/>
        <v>15.949488000000001</v>
      </c>
      <c r="N26" s="316">
        <f t="shared" ca="1" si="6"/>
        <v>3.2410966081738852</v>
      </c>
      <c r="O26" s="315">
        <f>1/(1+'[92]Asumsi I'!$C$3)^(KKF!A26)</f>
        <v>0.1161067768903709</v>
      </c>
      <c r="P26" s="316">
        <f t="shared" ca="1" si="7"/>
        <v>0.37631328076538317</v>
      </c>
      <c r="Q26" s="316">
        <f t="shared" ca="1" si="9"/>
        <v>22.790704117899818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11040</v>
      </c>
      <c r="D27" s="316">
        <f t="shared" si="5"/>
        <v>1840</v>
      </c>
      <c r="E27" s="316">
        <f t="shared" si="0"/>
        <v>9200</v>
      </c>
      <c r="F27" s="314"/>
      <c r="G27" s="318">
        <f ca="1">DATA!$D$11/1000000</f>
        <v>0.47035422383999997</v>
      </c>
      <c r="H27" s="318">
        <f>C27*DATA!$D$5/1000000</f>
        <v>11.968740506587888</v>
      </c>
      <c r="I27" s="318">
        <f>(C27*DATA!$D$5*DATA!$D$7)/1000000</f>
        <v>0.2692966613982275</v>
      </c>
      <c r="J27" s="316">
        <f t="shared" ca="1" si="1"/>
        <v>12.708391391826115</v>
      </c>
      <c r="K27" s="314"/>
      <c r="L27" s="316">
        <f>((D27*DATA!$D$23)/1000000)+((E27*DATA!$D$24)/1000000)</f>
        <v>15.949488000000001</v>
      </c>
      <c r="M27" s="316">
        <f t="shared" si="2"/>
        <v>15.949488000000001</v>
      </c>
      <c r="N27" s="316">
        <f t="shared" ca="1" si="6"/>
        <v>3.2410966081738852</v>
      </c>
      <c r="O27" s="315">
        <f>1/(1+'[92]Asumsi I'!$C$3)^(KKF!A27)</f>
        <v>0.1036667650806883</v>
      </c>
      <c r="P27" s="316">
        <f t="shared" ca="1" si="7"/>
        <v>0.33599400068337781</v>
      </c>
      <c r="Q27" s="316">
        <f t="shared" ca="1" si="9"/>
        <v>23.126698118583196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11040</v>
      </c>
      <c r="D28" s="316">
        <f t="shared" si="5"/>
        <v>1840</v>
      </c>
      <c r="E28" s="316">
        <f t="shared" si="0"/>
        <v>9200</v>
      </c>
      <c r="F28" s="314"/>
      <c r="G28" s="318">
        <f ca="1">DATA!$D$11/1000000</f>
        <v>0.47035422383999997</v>
      </c>
      <c r="H28" s="318">
        <f>C28*DATA!$D$5/1000000</f>
        <v>11.968740506587888</v>
      </c>
      <c r="I28" s="318">
        <f>(C28*DATA!$D$5*DATA!$D$7)/1000000</f>
        <v>0.2692966613982275</v>
      </c>
      <c r="J28" s="316">
        <f t="shared" ca="1" si="1"/>
        <v>12.708391391826115</v>
      </c>
      <c r="K28" s="314"/>
      <c r="L28" s="316">
        <f>((D28*DATA!$D$23)/1000000)+((E28*DATA!$D$24)/1000000)</f>
        <v>15.949488000000001</v>
      </c>
      <c r="M28" s="316">
        <f t="shared" si="2"/>
        <v>15.949488000000001</v>
      </c>
      <c r="N28" s="316">
        <f t="shared" ca="1" si="6"/>
        <v>3.2410966081738852</v>
      </c>
      <c r="O28" s="315">
        <f>1/(1+'[92]Asumsi I'!$C$3)^(KKF!A28)</f>
        <v>9.2559611679185971E-2</v>
      </c>
      <c r="P28" s="316">
        <f t="shared" ca="1" si="7"/>
        <v>0.29999464346730159</v>
      </c>
      <c r="Q28" s="316">
        <f t="shared" ca="1" si="9"/>
        <v>23.426692762050497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11040</v>
      </c>
      <c r="D29" s="316">
        <f t="shared" si="5"/>
        <v>1840</v>
      </c>
      <c r="E29" s="316">
        <f t="shared" si="0"/>
        <v>9200</v>
      </c>
      <c r="F29" s="314"/>
      <c r="G29" s="318">
        <f ca="1">DATA!$D$11/1000000</f>
        <v>0.47035422383999997</v>
      </c>
      <c r="H29" s="318">
        <f>C29*DATA!$D$5/1000000</f>
        <v>11.968740506587888</v>
      </c>
      <c r="I29" s="318">
        <f>(C29*DATA!$D$5*DATA!$D$7)/1000000</f>
        <v>0.2692966613982275</v>
      </c>
      <c r="J29" s="316">
        <f t="shared" ca="1" si="1"/>
        <v>12.708391391826115</v>
      </c>
      <c r="K29" s="314"/>
      <c r="L29" s="316">
        <f>((D29*DATA!$D$23)/1000000)+((E29*DATA!$D$24)/1000000)</f>
        <v>15.949488000000001</v>
      </c>
      <c r="M29" s="316">
        <f t="shared" si="2"/>
        <v>15.949488000000001</v>
      </c>
      <c r="N29" s="316">
        <f t="shared" ca="1" si="6"/>
        <v>3.2410966081738852</v>
      </c>
      <c r="O29" s="315">
        <f>1/(1+'[92]Asumsi I'!$C$3)^(KKF!A29)</f>
        <v>8.2642510427844609E-2</v>
      </c>
      <c r="P29" s="316">
        <f t="shared" ca="1" si="7"/>
        <v>0.2678523602386621</v>
      </c>
      <c r="Q29" s="316">
        <f t="shared" ca="1" si="9"/>
        <v>23.69454512228916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11040</v>
      </c>
      <c r="D30" s="316">
        <f t="shared" si="5"/>
        <v>1840</v>
      </c>
      <c r="E30" s="316">
        <f t="shared" si="0"/>
        <v>9200</v>
      </c>
      <c r="F30" s="314"/>
      <c r="G30" s="318">
        <f ca="1">DATA!$D$11/1000000</f>
        <v>0.47035422383999997</v>
      </c>
      <c r="H30" s="318">
        <f>C30*DATA!$D$5/1000000</f>
        <v>11.968740506587888</v>
      </c>
      <c r="I30" s="318">
        <f>(C30*DATA!$D$5*DATA!$D$7)/1000000</f>
        <v>0.2692966613982275</v>
      </c>
      <c r="J30" s="316">
        <f t="shared" ca="1" si="1"/>
        <v>12.708391391826115</v>
      </c>
      <c r="K30" s="314"/>
      <c r="L30" s="316">
        <f>((D30*DATA!$D$23)/1000000)+((E30*DATA!$D$24)/1000000)</f>
        <v>15.949488000000001</v>
      </c>
      <c r="M30" s="316">
        <f t="shared" si="2"/>
        <v>15.949488000000001</v>
      </c>
      <c r="N30" s="316">
        <f t="shared" ca="1" si="6"/>
        <v>3.2410966081738852</v>
      </c>
      <c r="O30" s="315">
        <f>1/(1+'[92]Asumsi I'!$C$3)^(KKF!A30)</f>
        <v>7.3787955739146982E-2</v>
      </c>
      <c r="P30" s="316">
        <f t="shared" ca="1" si="7"/>
        <v>0.23915389307023405</v>
      </c>
      <c r="Q30" s="316">
        <f t="shared" ca="1" si="9"/>
        <v>23.933699015359394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11040</v>
      </c>
      <c r="D31" s="316">
        <f t="shared" si="5"/>
        <v>1840</v>
      </c>
      <c r="E31" s="316">
        <f t="shared" si="0"/>
        <v>9200</v>
      </c>
      <c r="F31" s="314"/>
      <c r="G31" s="318">
        <f ca="1">DATA!$D$11/1000000</f>
        <v>0.47035422383999997</v>
      </c>
      <c r="H31" s="318">
        <f>C31*DATA!$D$5/1000000</f>
        <v>11.968740506587888</v>
      </c>
      <c r="I31" s="318">
        <f>(C31*DATA!$D$5*DATA!$D$7)/1000000</f>
        <v>0.2692966613982275</v>
      </c>
      <c r="J31" s="316">
        <f t="shared" ca="1" si="1"/>
        <v>12.708391391826115</v>
      </c>
      <c r="K31" s="314"/>
      <c r="L31" s="316">
        <f>((D31*DATA!$D$23)/1000000)+((E31*DATA!$D$24)/1000000)</f>
        <v>15.949488000000001</v>
      </c>
      <c r="M31" s="316">
        <f t="shared" si="2"/>
        <v>15.949488000000001</v>
      </c>
      <c r="N31" s="316">
        <f t="shared" ca="1" si="6"/>
        <v>3.2410966081738852</v>
      </c>
      <c r="O31" s="315">
        <f>1/(1+'[92]Asumsi I'!$C$3)^(KKF!A31)</f>
        <v>6.5882103338524081E-2</v>
      </c>
      <c r="P31" s="316">
        <f t="shared" ca="1" si="7"/>
        <v>0.21353026166985181</v>
      </c>
      <c r="Q31" s="316">
        <f ca="1">Q30+P31</f>
        <v>24.147229277029247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11040</v>
      </c>
      <c r="D32" s="316">
        <f t="shared" si="5"/>
        <v>1840</v>
      </c>
      <c r="E32" s="316">
        <f t="shared" si="0"/>
        <v>9200</v>
      </c>
      <c r="F32" s="314"/>
      <c r="G32" s="318">
        <f ca="1">DATA!$D$11/1000000</f>
        <v>0.47035422383999997</v>
      </c>
      <c r="H32" s="318">
        <f>C32*DATA!$D$5/1000000</f>
        <v>11.968740506587888</v>
      </c>
      <c r="I32" s="318">
        <f>(C32*DATA!$D$5*DATA!$D$7)/1000000</f>
        <v>0.2692966613982275</v>
      </c>
      <c r="J32" s="316">
        <f t="shared" ca="1" si="1"/>
        <v>12.708391391826115</v>
      </c>
      <c r="K32" s="314"/>
      <c r="L32" s="316">
        <f>((D32*DATA!$D$23)/1000000)+((E32*DATA!$D$24)/1000000)</f>
        <v>15.949488000000001</v>
      </c>
      <c r="M32" s="316">
        <f t="shared" si="2"/>
        <v>15.949488000000001</v>
      </c>
      <c r="N32" s="316">
        <f t="shared" ca="1" si="6"/>
        <v>3.2410966081738852</v>
      </c>
      <c r="O32" s="315">
        <f>1/(1+'[92]Asumsi I'!$C$3)^(KKF!A32)</f>
        <v>5.8823306552253637E-2</v>
      </c>
      <c r="P32" s="316">
        <f t="shared" ca="1" si="7"/>
        <v>0.19065201934808193</v>
      </c>
      <c r="Q32" s="316">
        <f ca="1">Q31+P32</f>
        <v>24.337881296377329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0" t="s">
        <v>1374</v>
      </c>
      <c r="G33" s="600"/>
      <c r="H33" s="600"/>
      <c r="I33" s="324"/>
      <c r="J33" s="325">
        <f ca="1">SUM(J7:J32)</f>
        <v>343.73752307282405</v>
      </c>
      <c r="K33" s="600" t="s">
        <v>1375</v>
      </c>
      <c r="L33" s="600"/>
      <c r="M33" s="325">
        <f>SUM(M7:M32)</f>
        <v>423.68244799999974</v>
      </c>
      <c r="N33" s="323"/>
      <c r="O33" s="323"/>
      <c r="P33" s="326"/>
      <c r="Q33" s="326"/>
      <c r="S33" s="304">
        <f ca="1">COUNTIF(S7:S32,"a")</f>
        <v>1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8.0305345454777104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0.64393787533811975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1.2325754960136797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21.730251157479753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2.9941115190837269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67"/>
  <sheetViews>
    <sheetView showGridLines="0" tabSelected="1" zoomScale="80" zoomScaleNormal="80" zoomScaleSheetLayoutView="70" workbookViewId="0">
      <pane ySplit="13" topLeftCell="A14" activePane="bottomLeft" state="frozen"/>
      <selection activeCell="H1093" sqref="H1093"/>
      <selection pane="bottomLeft" activeCell="I59" sqref="I59:K59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3" t="s">
        <v>1036</v>
      </c>
      <c r="P3" s="603"/>
      <c r="Q3" s="346"/>
      <c r="T3" s="344"/>
      <c r="U3" s="345" t="s">
        <v>1041</v>
      </c>
      <c r="V3" s="344"/>
    </row>
    <row r="4" spans="1:22" ht="18.75">
      <c r="B4" s="604" t="s">
        <v>1023</v>
      </c>
      <c r="C4" s="604"/>
      <c r="D4" s="604"/>
      <c r="E4" s="604"/>
      <c r="F4" s="604"/>
      <c r="G4" s="604"/>
      <c r="H4" s="604"/>
      <c r="I4" s="604"/>
      <c r="J4" s="604"/>
      <c r="K4" s="604"/>
      <c r="O4" s="603"/>
      <c r="P4" s="60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0" t="str">
        <f>DATA!D14</f>
        <v>ALFAMART SULUR</v>
      </c>
      <c r="H6" s="621"/>
      <c r="I6" s="621"/>
      <c r="J6" s="621"/>
      <c r="K6" s="62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06" t="s">
        <v>0</v>
      </c>
      <c r="C11" s="608" t="s">
        <v>1</v>
      </c>
      <c r="D11" s="611" t="s">
        <v>42</v>
      </c>
      <c r="E11" s="611" t="s">
        <v>43</v>
      </c>
      <c r="F11" s="611" t="s">
        <v>2</v>
      </c>
      <c r="G11" s="613" t="s">
        <v>41</v>
      </c>
      <c r="H11" s="611" t="s">
        <v>3</v>
      </c>
      <c r="I11" s="611"/>
      <c r="J11" s="611"/>
      <c r="K11" s="631"/>
      <c r="O11" s="351"/>
      <c r="P11" s="352"/>
      <c r="Q11" s="351"/>
      <c r="S11" s="353"/>
      <c r="T11" s="354"/>
      <c r="U11" s="354"/>
      <c r="V11" s="354"/>
    </row>
    <row r="12" spans="1:22">
      <c r="B12" s="607"/>
      <c r="C12" s="609"/>
      <c r="D12" s="612"/>
      <c r="E12" s="612"/>
      <c r="F12" s="612"/>
      <c r="G12" s="614"/>
      <c r="H12" s="616" t="s">
        <v>46</v>
      </c>
      <c r="I12" s="616" t="s">
        <v>5</v>
      </c>
      <c r="J12" s="612" t="s">
        <v>47</v>
      </c>
      <c r="K12" s="632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07"/>
      <c r="C13" s="610"/>
      <c r="D13" s="612"/>
      <c r="E13" s="612"/>
      <c r="F13" s="612"/>
      <c r="G13" s="615"/>
      <c r="H13" s="617"/>
      <c r="I13" s="617"/>
      <c r="J13" s="612"/>
      <c r="K13" s="632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86" t="s">
        <v>480</v>
      </c>
      <c r="C15" s="498" t="s">
        <v>1611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45" ca="1" si="4">IF(OR(D15="MDU",D15="MDU-KD"),(IF($O$3="RAB NON MDU","PLN KD",G15*F15)),0)</f>
        <v>0</v>
      </c>
      <c r="I15" s="361">
        <f t="shared" ref="I15:I45" ca="1" si="5">IF(D15="HDW",G15*F15,0)</f>
        <v>0</v>
      </c>
      <c r="J15" s="361">
        <f t="shared" ref="J15:J45" ca="1" si="6">IF(D15="JASA",G15*F15,0)</f>
        <v>0</v>
      </c>
      <c r="K15" s="362">
        <f t="shared" ref="K15:K45" ca="1" si="7">SUM(H15:J15)</f>
        <v>0</v>
      </c>
    </row>
    <row r="16" spans="1:22">
      <c r="B16" s="499" t="s">
        <v>1035</v>
      </c>
      <c r="C16" s="500" t="s">
        <v>184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Unit</v>
      </c>
      <c r="F16" s="503">
        <v>4</v>
      </c>
      <c r="G16" s="360">
        <f ca="1">IF(ISERROR(OFFSET('HARGA SATUAN'!$I$6,MATCH(RAB!C16,'HARGA SATUAN'!$C$7:$C$1492,0),0)),0,OFFSET('HARGA SATUAN'!$I$6,MATCH(RAB!C16,'HARGA SATUAN'!$C$7:$C$1492,0),0))</f>
        <v>15900</v>
      </c>
      <c r="H16" s="361">
        <f t="shared" ca="1" si="4"/>
        <v>0</v>
      </c>
      <c r="I16" s="361">
        <f t="shared" ca="1" si="5"/>
        <v>63600</v>
      </c>
      <c r="J16" s="361">
        <f t="shared" ca="1" si="6"/>
        <v>0</v>
      </c>
      <c r="K16" s="362">
        <f t="shared" ca="1" si="7"/>
        <v>63600</v>
      </c>
    </row>
    <row r="17" spans="2:11">
      <c r="B17" s="499" t="s">
        <v>1035</v>
      </c>
      <c r="C17" s="500" t="s">
        <v>1099</v>
      </c>
      <c r="D17" s="358" t="str">
        <f ca="1">IF(ISERROR(OFFSET('HARGA SATUAN'!$D$6,MATCH(RAB!C17,'HARGA SATUAN'!$C$7:$C$1492,0),0)),"",OFFSET('HARGA SATUAN'!$D$6,MATCH(RAB!C17,'HARGA SATUAN'!$C$7:$C$1492,0),0))</f>
        <v>JASA</v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03">
        <v>4</v>
      </c>
      <c r="G17" s="360">
        <f ca="1">IF(ISERROR(OFFSET('HARGA SATUAN'!$I$6,MATCH(RAB!C17,'HARGA SATUAN'!$C$7:$C$1492,0),0)),0,OFFSET('HARGA SATUAN'!$I$6,MATCH(RAB!C17,'HARGA SATUAN'!$C$7:$C$1492,0),0))</f>
        <v>13770</v>
      </c>
      <c r="H17" s="361">
        <f t="shared" ca="1" si="4"/>
        <v>0</v>
      </c>
      <c r="I17" s="361">
        <f t="shared" ca="1" si="5"/>
        <v>0</v>
      </c>
      <c r="J17" s="361">
        <f t="shared" ca="1" si="6"/>
        <v>55080</v>
      </c>
      <c r="K17" s="362">
        <f t="shared" ca="1" si="7"/>
        <v>55080</v>
      </c>
    </row>
    <row r="18" spans="2:11">
      <c r="B18" s="499" t="s">
        <v>1035</v>
      </c>
      <c r="C18" s="500" t="s">
        <v>346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Unit</v>
      </c>
      <c r="F18" s="503">
        <v>3</v>
      </c>
      <c r="G18" s="360">
        <f ca="1">IF(ISERROR(OFFSET('HARGA SATUAN'!$I$6,MATCH(RAB!C18,'HARGA SATUAN'!$C$7:$C$1492,0),0)),0,OFFSET('HARGA SATUAN'!$I$6,MATCH(RAB!C18,'HARGA SATUAN'!$C$7:$C$1492,0),0))</f>
        <v>223500</v>
      </c>
      <c r="H18" s="361">
        <f t="shared" ref="H18:H44" ca="1" si="8">IF(OR(D18="MDU",D18="MDU-KD"),(IF($O$3="RAB NON MDU","PLN KD",G18*F18)),0)</f>
        <v>0</v>
      </c>
      <c r="I18" s="361">
        <f t="shared" ref="I18:I44" ca="1" si="9">IF(D18="HDW",G18*F18,0)</f>
        <v>0</v>
      </c>
      <c r="J18" s="361">
        <f t="shared" ref="J18:J44" ca="1" si="10">IF(D18="JASA",G18*F18,0)</f>
        <v>670500</v>
      </c>
      <c r="K18" s="362">
        <f t="shared" ref="K18:K44" ca="1" si="11">SUM(H18:J18)</f>
        <v>670500</v>
      </c>
    </row>
    <row r="19" spans="2:11">
      <c r="B19" s="499" t="s">
        <v>1035</v>
      </c>
      <c r="C19" s="500" t="s">
        <v>1459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3">
        <v>170</v>
      </c>
      <c r="G19" s="360">
        <f ca="1">IF(ISERROR(OFFSET('HARGA SATUAN'!$I$6,MATCH(RAB!C19,'HARGA SATUAN'!$C$7:$C$1492,0),0)),0,OFFSET('HARGA SATUAN'!$I$6,MATCH(RAB!C19,'HARGA SATUAN'!$C$7:$C$1492,0),0))</f>
        <v>54500</v>
      </c>
      <c r="H19" s="361">
        <f t="shared" ca="1" si="8"/>
        <v>9265000</v>
      </c>
      <c r="I19" s="361">
        <f t="shared" ca="1" si="9"/>
        <v>0</v>
      </c>
      <c r="J19" s="361">
        <f t="shared" ca="1" si="10"/>
        <v>0</v>
      </c>
      <c r="K19" s="362">
        <f t="shared" ca="1" si="11"/>
        <v>9265000</v>
      </c>
    </row>
    <row r="20" spans="2:11">
      <c r="B20" s="499"/>
      <c r="C20" s="500"/>
      <c r="D20" s="358" t="str">
        <f ca="1">IF(ISERROR(OFFSET('HARGA SATUAN'!$D$6,MATCH(RAB!C20,'HARGA SATUAN'!$C$7:$C$1492,0),0)),"",OFFSET('HARGA SATUAN'!$D$6,MATCH(RAB!C20,'HARGA SATUAN'!$C$7:$C$1492,0),0))</f>
        <v/>
      </c>
      <c r="E20" s="359"/>
      <c r="F20" s="503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22" ca="1" si="12">IF(OR(D20="MDU",D20="MDU-KD"),(IF($O$3="RAB NON MDU","PLN KD",G20*F20)),0)</f>
        <v>0</v>
      </c>
      <c r="I20" s="361">
        <f t="shared" ref="I20:I22" ca="1" si="13">IF(D20="HDW",G20*F20,0)</f>
        <v>0</v>
      </c>
      <c r="J20" s="361">
        <f t="shared" ref="J20:J22" ca="1" si="14">IF(D20="JASA",G20*F20,0)</f>
        <v>0</v>
      </c>
      <c r="K20" s="362">
        <f t="shared" ref="K20:K22" ca="1" si="15">SUM(H20:J20)</f>
        <v>0</v>
      </c>
    </row>
    <row r="21" spans="2:11">
      <c r="B21" s="499" t="s">
        <v>1035</v>
      </c>
      <c r="C21" s="500" t="s">
        <v>101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03">
        <v>1</v>
      </c>
      <c r="G21" s="360">
        <f ca="1">IF(ISERROR(OFFSET('HARGA SATUAN'!$I$6,MATCH(RAB!C21,'HARGA SATUAN'!$C$7:$C$1492,0),0)),0,OFFSET('HARGA SATUAN'!$I$6,MATCH(RAB!C21,'HARGA SATUAN'!$C$7:$C$1492,0),0))</f>
        <v>3382600</v>
      </c>
      <c r="H21" s="361">
        <f t="shared" ca="1" si="12"/>
        <v>0</v>
      </c>
      <c r="I21" s="361">
        <f t="shared" ca="1" si="13"/>
        <v>3382600</v>
      </c>
      <c r="J21" s="361">
        <f t="shared" ca="1" si="14"/>
        <v>0</v>
      </c>
      <c r="K21" s="362">
        <f t="shared" ca="1" si="15"/>
        <v>3382600</v>
      </c>
    </row>
    <row r="22" spans="2:11">
      <c r="B22" s="499"/>
      <c r="C22" s="500"/>
      <c r="D22" s="358" t="str">
        <f ca="1">IF(ISERROR(OFFSET('HARGA SATUAN'!$D$6,MATCH(RAB!C22,'HARGA SATUAN'!$C$7:$C$1492,0),0)),"",OFFSET('HARGA SATUAN'!$D$6,MATCH(RAB!C22,'HARGA SATUAN'!$C$7:$C$1492,0),0))</f>
        <v/>
      </c>
      <c r="E22" s="359"/>
      <c r="F22" s="503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2"/>
        <v>0</v>
      </c>
      <c r="I22" s="361">
        <f t="shared" ca="1" si="13"/>
        <v>0</v>
      </c>
      <c r="J22" s="361">
        <f t="shared" ca="1" si="14"/>
        <v>0</v>
      </c>
      <c r="K22" s="362">
        <f t="shared" ca="1" si="15"/>
        <v>0</v>
      </c>
    </row>
    <row r="23" spans="2:11">
      <c r="B23" s="499" t="s">
        <v>1035</v>
      </c>
      <c r="C23" s="500" t="s">
        <v>1612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3">
        <v>2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</row>
    <row r="24" spans="2:11">
      <c r="B24" s="499">
        <v>1</v>
      </c>
      <c r="C24" s="500" t="s">
        <v>595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3">
        <f>F23*1</f>
        <v>2</v>
      </c>
      <c r="G24" s="360">
        <f ca="1">IF(ISERROR(OFFSET('HARGA SATUAN'!$I$6,MATCH(RAB!C24,'HARGA SATUAN'!$C$7:$C$1492,0),0)),0,OFFSET('HARGA SATUAN'!$I$6,MATCH(RAB!C24,'HARGA SATUAN'!$C$7:$C$1492,0),0))</f>
        <v>78500</v>
      </c>
      <c r="H24" s="361">
        <f t="shared" ca="1" si="8"/>
        <v>0</v>
      </c>
      <c r="I24" s="361">
        <f t="shared" ca="1" si="9"/>
        <v>157000</v>
      </c>
      <c r="J24" s="361">
        <f t="shared" ca="1" si="10"/>
        <v>0</v>
      </c>
      <c r="K24" s="362">
        <f t="shared" ca="1" si="11"/>
        <v>157000</v>
      </c>
    </row>
    <row r="25" spans="2:11">
      <c r="B25" s="499">
        <v>2</v>
      </c>
      <c r="C25" s="500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3">
        <f>F23*1</f>
        <v>2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8"/>
        <v>0</v>
      </c>
      <c r="I25" s="361">
        <f t="shared" ca="1" si="9"/>
        <v>8424</v>
      </c>
      <c r="J25" s="361">
        <f t="shared" ca="1" si="10"/>
        <v>0</v>
      </c>
      <c r="K25" s="362">
        <f t="shared" ca="1" si="11"/>
        <v>8424</v>
      </c>
    </row>
    <row r="26" spans="2:11">
      <c r="B26" s="499">
        <v>3</v>
      </c>
      <c r="C26" s="500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3">
        <f>F23*1</f>
        <v>2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8"/>
        <v>0</v>
      </c>
      <c r="I26" s="361">
        <f t="shared" ca="1" si="9"/>
        <v>46620</v>
      </c>
      <c r="J26" s="361">
        <f t="shared" ca="1" si="10"/>
        <v>0</v>
      </c>
      <c r="K26" s="362">
        <f t="shared" ca="1" si="11"/>
        <v>46620</v>
      </c>
    </row>
    <row r="27" spans="2:11">
      <c r="B27" s="499">
        <v>4</v>
      </c>
      <c r="C27" s="500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3">
        <f>F23*1</f>
        <v>2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8"/>
        <v>0</v>
      </c>
      <c r="I27" s="361">
        <f t="shared" ca="1" si="9"/>
        <v>4600</v>
      </c>
      <c r="J27" s="361">
        <f t="shared" ca="1" si="10"/>
        <v>0</v>
      </c>
      <c r="K27" s="362">
        <f t="shared" ca="1" si="11"/>
        <v>4600</v>
      </c>
    </row>
    <row r="28" spans="2:11">
      <c r="B28" s="499">
        <v>5</v>
      </c>
      <c r="C28" s="500" t="s">
        <v>630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3">
        <f>F23*1</f>
        <v>2</v>
      </c>
      <c r="G28" s="360">
        <f ca="1">IF(ISERROR(OFFSET('HARGA SATUAN'!$I$6,MATCH(RAB!C28,'HARGA SATUAN'!$C$7:$C$1492,0),0)),0,OFFSET('HARGA SATUAN'!$I$6,MATCH(RAB!C28,'HARGA SATUAN'!$C$7:$C$1492,0),0))</f>
        <v>35700</v>
      </c>
      <c r="H28" s="361">
        <f t="shared" ca="1" si="8"/>
        <v>0</v>
      </c>
      <c r="I28" s="361">
        <f t="shared" ca="1" si="9"/>
        <v>0</v>
      </c>
      <c r="J28" s="361">
        <f t="shared" ca="1" si="10"/>
        <v>71400</v>
      </c>
      <c r="K28" s="362">
        <f t="shared" ca="1" si="11"/>
        <v>71400</v>
      </c>
    </row>
    <row r="29" spans="2:11">
      <c r="B29" s="499"/>
      <c r="C29" s="500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3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8"/>
        <v>0</v>
      </c>
      <c r="I29" s="361">
        <f t="shared" ca="1" si="9"/>
        <v>0</v>
      </c>
      <c r="J29" s="361">
        <f t="shared" ca="1" si="10"/>
        <v>0</v>
      </c>
      <c r="K29" s="362">
        <f t="shared" ca="1" si="11"/>
        <v>0</v>
      </c>
    </row>
    <row r="30" spans="2:11">
      <c r="B30" s="499" t="s">
        <v>1035</v>
      </c>
      <c r="C30" s="500" t="s">
        <v>1613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3">
        <v>2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8"/>
        <v>0</v>
      </c>
      <c r="I30" s="361">
        <f t="shared" ca="1" si="9"/>
        <v>0</v>
      </c>
      <c r="J30" s="361">
        <f t="shared" ca="1" si="10"/>
        <v>0</v>
      </c>
      <c r="K30" s="362">
        <f t="shared" ca="1" si="11"/>
        <v>0</v>
      </c>
    </row>
    <row r="31" spans="2:11">
      <c r="B31" s="499">
        <v>1</v>
      </c>
      <c r="C31" s="500" t="s">
        <v>229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3">
        <f>F30*1</f>
        <v>2</v>
      </c>
      <c r="G31" s="360">
        <f ca="1">IF(ISERROR(OFFSET('HARGA SATUAN'!$I$6,MATCH(RAB!C31,'HARGA SATUAN'!$C$7:$C$1492,0),0)),0,OFFSET('HARGA SATUAN'!$I$6,MATCH(RAB!C31,'HARGA SATUAN'!$C$7:$C$1492,0),0))</f>
        <v>4212</v>
      </c>
      <c r="H31" s="361">
        <f t="shared" ca="1" si="8"/>
        <v>0</v>
      </c>
      <c r="I31" s="361">
        <f t="shared" ca="1" si="9"/>
        <v>8424</v>
      </c>
      <c r="J31" s="361">
        <f t="shared" ca="1" si="10"/>
        <v>0</v>
      </c>
      <c r="K31" s="362">
        <f t="shared" ca="1" si="11"/>
        <v>8424</v>
      </c>
    </row>
    <row r="32" spans="2:11">
      <c r="B32" s="499">
        <v>2</v>
      </c>
      <c r="C32" s="500" t="s">
        <v>266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3">
        <f>F30*1</f>
        <v>2</v>
      </c>
      <c r="G32" s="360">
        <f ca="1">IF(ISERROR(OFFSET('HARGA SATUAN'!$I$6,MATCH(RAB!C32,'HARGA SATUAN'!$C$7:$C$1492,0),0)),0,OFFSET('HARGA SATUAN'!$I$6,MATCH(RAB!C32,'HARGA SATUAN'!$C$7:$C$1492,0),0))</f>
        <v>23310</v>
      </c>
      <c r="H32" s="361">
        <f t="shared" ca="1" si="8"/>
        <v>0</v>
      </c>
      <c r="I32" s="361">
        <f t="shared" ca="1" si="9"/>
        <v>46620</v>
      </c>
      <c r="J32" s="361">
        <f t="shared" ca="1" si="10"/>
        <v>0</v>
      </c>
      <c r="K32" s="362">
        <f t="shared" ca="1" si="11"/>
        <v>46620</v>
      </c>
    </row>
    <row r="33" spans="2:11">
      <c r="B33" s="499">
        <v>3</v>
      </c>
      <c r="C33" s="500" t="s">
        <v>35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3">
        <f>F30*1</f>
        <v>2</v>
      </c>
      <c r="G33" s="360">
        <f ca="1">IF(ISERROR(OFFSET('HARGA SATUAN'!$I$6,MATCH(RAB!C33,'HARGA SATUAN'!$C$7:$C$1492,0),0)),0,OFFSET('HARGA SATUAN'!$I$6,MATCH(RAB!C33,'HARGA SATUAN'!$C$7:$C$1492,0),0))</f>
        <v>2300</v>
      </c>
      <c r="H33" s="361">
        <f t="shared" ca="1" si="8"/>
        <v>0</v>
      </c>
      <c r="I33" s="361">
        <f t="shared" ca="1" si="9"/>
        <v>4600</v>
      </c>
      <c r="J33" s="361">
        <f t="shared" ca="1" si="10"/>
        <v>0</v>
      </c>
      <c r="K33" s="362">
        <f t="shared" ca="1" si="11"/>
        <v>4600</v>
      </c>
    </row>
    <row r="34" spans="2:11">
      <c r="B34" s="499">
        <v>4</v>
      </c>
      <c r="C34" s="500" t="s">
        <v>609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3">
        <f>F30*1</f>
        <v>2</v>
      </c>
      <c r="G34" s="360">
        <f ca="1">IF(ISERROR(OFFSET('HARGA SATUAN'!$I$6,MATCH(RAB!C34,'HARGA SATUAN'!$C$7:$C$1492,0),0)),0,OFFSET('HARGA SATUAN'!$I$6,MATCH(RAB!C34,'HARGA SATUAN'!$C$7:$C$1492,0),0))</f>
        <v>71000</v>
      </c>
      <c r="H34" s="361">
        <f t="shared" ca="1" si="8"/>
        <v>0</v>
      </c>
      <c r="I34" s="361">
        <f t="shared" ca="1" si="9"/>
        <v>142000</v>
      </c>
      <c r="J34" s="361">
        <f t="shared" ca="1" si="10"/>
        <v>0</v>
      </c>
      <c r="K34" s="362">
        <f t="shared" ca="1" si="11"/>
        <v>142000</v>
      </c>
    </row>
    <row r="35" spans="2:11">
      <c r="B35" s="499">
        <v>5</v>
      </c>
      <c r="C35" s="500" t="s">
        <v>629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3">
        <f>F30*1</f>
        <v>2</v>
      </c>
      <c r="G35" s="360">
        <f ca="1">IF(ISERROR(OFFSET('HARGA SATUAN'!$I$6,MATCH(RAB!C35,'HARGA SATUAN'!$C$7:$C$1492,0),0)),0,OFFSET('HARGA SATUAN'!$I$6,MATCH(RAB!C35,'HARGA SATUAN'!$C$7:$C$1492,0),0))</f>
        <v>29400</v>
      </c>
      <c r="H35" s="361">
        <f t="shared" ca="1" si="8"/>
        <v>0</v>
      </c>
      <c r="I35" s="361">
        <f t="shared" ca="1" si="9"/>
        <v>0</v>
      </c>
      <c r="J35" s="361">
        <f t="shared" ca="1" si="10"/>
        <v>58800</v>
      </c>
      <c r="K35" s="362">
        <f t="shared" ca="1" si="11"/>
        <v>58800</v>
      </c>
    </row>
    <row r="36" spans="2:11">
      <c r="B36" s="499"/>
      <c r="C36" s="500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3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" ca="1" si="16">IF(OR(D36="MDU",D36="MDU-KD"),(IF($O$3="RAB NON MDU","PLN KD",G36*F36)),0)</f>
        <v>0</v>
      </c>
      <c r="I36" s="361">
        <f t="shared" ref="I36" ca="1" si="17">IF(D36="HDW",G36*F36,0)</f>
        <v>0</v>
      </c>
      <c r="J36" s="361">
        <f t="shared" ref="J36" ca="1" si="18">IF(D36="JASA",G36*F36,0)</f>
        <v>0</v>
      </c>
      <c r="K36" s="362">
        <f t="shared" ref="K36" ca="1" si="19">SUM(H36:J36)</f>
        <v>0</v>
      </c>
    </row>
    <row r="37" spans="2:11">
      <c r="B37" s="501" t="s">
        <v>505</v>
      </c>
      <c r="C37" s="498" t="s">
        <v>1614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3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8"/>
        <v>0</v>
      </c>
      <c r="I37" s="361">
        <f t="shared" ca="1" si="9"/>
        <v>0</v>
      </c>
      <c r="J37" s="361">
        <f t="shared" ca="1" si="10"/>
        <v>0</v>
      </c>
      <c r="K37" s="362">
        <f t="shared" ca="1" si="11"/>
        <v>0</v>
      </c>
    </row>
    <row r="38" spans="2:11">
      <c r="B38" s="486" t="s">
        <v>1035</v>
      </c>
      <c r="C38" s="487" t="s">
        <v>1621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504">
        <v>1</v>
      </c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8"/>
        <v>0</v>
      </c>
      <c r="I38" s="361">
        <f t="shared" ca="1" si="9"/>
        <v>0</v>
      </c>
      <c r="J38" s="361">
        <f t="shared" ca="1" si="10"/>
        <v>0</v>
      </c>
      <c r="K38" s="362">
        <f t="shared" ca="1" si="11"/>
        <v>0</v>
      </c>
    </row>
    <row r="39" spans="2:11" ht="15" customHeight="1">
      <c r="B39" s="505">
        <v>1</v>
      </c>
      <c r="C39" s="490" t="s">
        <v>1197</v>
      </c>
      <c r="D39" s="358" t="str">
        <f ca="1">IF(ISERROR(OFFSET('HARGA SATUAN'!$D$6,MATCH(RAB!C39,'HARGA SATUAN'!$C$7:$C$1492,0),0)),"",OFFSET('HARGA SATUAN'!$D$6,MATCH(RAB!C39,'HARGA SATUAN'!$C$7:$C$1492,0),0))</f>
        <v>MDU-KD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4">
        <v>1</v>
      </c>
      <c r="G39" s="360">
        <f ca="1">IF(ISERROR(OFFSET('HARGA SATUAN'!$I$6,MATCH(RAB!C39,'HARGA SATUAN'!$C$7:$C$1492,0),0)),0,OFFSET('HARGA SATUAN'!$I$6,MATCH(RAB!C39,'HARGA SATUAN'!$C$7:$C$1492,0),0))</f>
        <v>1427400</v>
      </c>
      <c r="H39" s="361">
        <f t="shared" ca="1" si="8"/>
        <v>1427400</v>
      </c>
      <c r="I39" s="361">
        <f t="shared" ca="1" si="9"/>
        <v>0</v>
      </c>
      <c r="J39" s="361">
        <f t="shared" ca="1" si="10"/>
        <v>0</v>
      </c>
      <c r="K39" s="362">
        <f t="shared" ca="1" si="11"/>
        <v>1427400</v>
      </c>
    </row>
    <row r="40" spans="2:11">
      <c r="B40" s="505">
        <v>2</v>
      </c>
      <c r="C40" s="506" t="s">
        <v>512</v>
      </c>
      <c r="D40" s="358" t="str">
        <f ca="1">IF(ISERROR(OFFSET('HARGA SATUAN'!$D$6,MATCH(RAB!C40,'HARGA SATUAN'!$C$7:$C$1492,0),0)),"",OFFSET('HARGA SATUAN'!$D$6,MATCH(RAB!C40,'HARGA SATUAN'!$C$7:$C$1492,0),0))</f>
        <v>MDU-KD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04">
        <v>1</v>
      </c>
      <c r="G40" s="360">
        <f ca="1">IF(ISERROR(OFFSET('HARGA SATUAN'!$I$6,MATCH(RAB!C40,'HARGA SATUAN'!$C$7:$C$1492,0),0)),0,OFFSET('HARGA SATUAN'!$I$6,MATCH(RAB!C40,'HARGA SATUAN'!$C$7:$C$1492,0),0))</f>
        <v>3564900</v>
      </c>
      <c r="H40" s="361">
        <f t="shared" ca="1" si="8"/>
        <v>3564900</v>
      </c>
      <c r="I40" s="361">
        <f t="shared" ca="1" si="9"/>
        <v>0</v>
      </c>
      <c r="J40" s="361">
        <f t="shared" ca="1" si="10"/>
        <v>0</v>
      </c>
      <c r="K40" s="362">
        <f t="shared" ca="1" si="11"/>
        <v>3564900</v>
      </c>
    </row>
    <row r="41" spans="2:11">
      <c r="B41" s="505">
        <v>3</v>
      </c>
      <c r="C41" s="506" t="s">
        <v>1142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4">
        <v>1</v>
      </c>
      <c r="G41" s="360">
        <f ca="1">IF(ISERROR(OFFSET('HARGA SATUAN'!$I$6,MATCH(RAB!C41,'HARGA SATUAN'!$C$7:$C$1492,0),0)),0,OFFSET('HARGA SATUAN'!$I$6,MATCH(RAB!C41,'HARGA SATUAN'!$C$7:$C$1492,0),0))</f>
        <v>1113900</v>
      </c>
      <c r="H41" s="361">
        <f t="shared" ca="1" si="8"/>
        <v>0</v>
      </c>
      <c r="I41" s="361">
        <f t="shared" ca="1" si="9"/>
        <v>1113900</v>
      </c>
      <c r="J41" s="361">
        <f t="shared" ca="1" si="10"/>
        <v>0</v>
      </c>
      <c r="K41" s="362">
        <f t="shared" ca="1" si="11"/>
        <v>1113900</v>
      </c>
    </row>
    <row r="42" spans="2:11">
      <c r="B42" s="505">
        <v>4</v>
      </c>
      <c r="C42" s="506" t="s">
        <v>77</v>
      </c>
      <c r="D42" s="358" t="str">
        <f ca="1">IF(ISERROR(OFFSET('HARGA SATUAN'!$D$6,MATCH(RAB!C42,'HARGA SATUAN'!$C$7:$C$1492,0),0)),"",OFFSET('HARGA SATUAN'!$D$6,MATCH(RAB!C42,'HARGA SATUAN'!$C$7:$C$1492,0),0))</f>
        <v>MDU-KD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04">
        <v>35</v>
      </c>
      <c r="G42" s="360">
        <f ca="1">IF(ISERROR(OFFSET('HARGA SATUAN'!$I$6,MATCH(RAB!C42,'HARGA SATUAN'!$C$7:$C$1492,0),0)),0,OFFSET('HARGA SATUAN'!$I$6,MATCH(RAB!C42,'HARGA SATUAN'!$C$7:$C$1492,0),0))</f>
        <v>13500</v>
      </c>
      <c r="H42" s="361">
        <f t="shared" ca="1" si="8"/>
        <v>472500</v>
      </c>
      <c r="I42" s="361">
        <f t="shared" ca="1" si="9"/>
        <v>0</v>
      </c>
      <c r="J42" s="361">
        <f t="shared" ca="1" si="10"/>
        <v>0</v>
      </c>
      <c r="K42" s="362">
        <f t="shared" ca="1" si="11"/>
        <v>472500</v>
      </c>
    </row>
    <row r="43" spans="2:11">
      <c r="B43" s="499">
        <v>5</v>
      </c>
      <c r="C43" s="502" t="s">
        <v>799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4">
        <v>1</v>
      </c>
      <c r="G43" s="360">
        <f ca="1">IF(ISERROR(OFFSET('HARGA SATUAN'!$I$6,MATCH(RAB!C43,'HARGA SATUAN'!$C$7:$C$1492,0),0)),0,OFFSET('HARGA SATUAN'!$I$6,MATCH(RAB!C43,'HARGA SATUAN'!$C$7:$C$1492,0),0))</f>
        <v>106400</v>
      </c>
      <c r="H43" s="361">
        <f t="shared" ref="H43" ca="1" si="20">IF(OR(D43="MDU",D43="MDU-KD"),(IF($O$3="RAB NON MDU","PLN KD",G43*F43)),0)</f>
        <v>0</v>
      </c>
      <c r="I43" s="361">
        <f t="shared" ref="I43" ca="1" si="21">IF(D43="HDW",G43*F43,0)</f>
        <v>0</v>
      </c>
      <c r="J43" s="361">
        <f t="shared" ref="J43" ca="1" si="22">IF(D43="JASA",G43*F43,0)</f>
        <v>106400</v>
      </c>
      <c r="K43" s="362">
        <f t="shared" ref="K43" ca="1" si="23">SUM(H43:J43)</f>
        <v>106400</v>
      </c>
    </row>
    <row r="44" spans="2:11">
      <c r="B44" s="486"/>
      <c r="C44" s="487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497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8"/>
        <v>0</v>
      </c>
      <c r="I44" s="361">
        <f t="shared" ca="1" si="9"/>
        <v>0</v>
      </c>
      <c r="J44" s="361">
        <f t="shared" ca="1" si="10"/>
        <v>0</v>
      </c>
      <c r="K44" s="362">
        <f t="shared" ca="1" si="11"/>
        <v>0</v>
      </c>
    </row>
    <row r="45" spans="2:11">
      <c r="B45" s="367"/>
      <c r="C45" s="109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472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4"/>
        <v>0</v>
      </c>
      <c r="I45" s="361">
        <f t="shared" ca="1" si="5"/>
        <v>0</v>
      </c>
      <c r="J45" s="361">
        <f t="shared" ca="1" si="6"/>
        <v>0</v>
      </c>
      <c r="K45" s="362">
        <f t="shared" ca="1" si="7"/>
        <v>0</v>
      </c>
    </row>
    <row r="46" spans="2:11">
      <c r="B46" s="368"/>
      <c r="C46" s="369" t="s">
        <v>475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472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" ca="1" si="24">IF(OR(D46="MDU",D46="MDU-KD"),(IF($O$3="RAB NON MDU","PLN KD",G46*F46)),0)</f>
        <v>0</v>
      </c>
      <c r="I46" s="361">
        <f t="shared" ref="I46" ca="1" si="25">IF(D46="HDW",G46*F46,0)</f>
        <v>0</v>
      </c>
      <c r="J46" s="361">
        <f t="shared" ref="J46" ca="1" si="26">IF(D46="JASA",G46*F46,0)</f>
        <v>0</v>
      </c>
      <c r="K46" s="362">
        <f t="shared" ref="K46" ca="1" si="27">SUM(H46:J46)</f>
        <v>0</v>
      </c>
    </row>
    <row r="47" spans="2:11">
      <c r="B47" s="371">
        <v>1</v>
      </c>
      <c r="C47" s="372" t="s">
        <v>1091</v>
      </c>
      <c r="D47" s="373" t="str">
        <f ca="1">IF(ISERROR(OFFSET('HARGA SATUAN'!$D$6,MATCH(RAB!C47,'HARGA SATUAN'!$C$7:$C$1492,0),0)),"",OFFSET('HARGA SATUAN'!$D$6,MATCH(RAB!C47,'HARGA SATUAN'!$C$7:$C$1492,0),0))</f>
        <v>JASA</v>
      </c>
      <c r="E47" s="374" t="str">
        <f ca="1">IF(ISERROR(OFFSET('HARGA SATUAN'!$E$6,MATCH(RAB!C47,'HARGA SATUAN'!$C$7:$C$1492,0),0)),"",OFFSET('HARGA SATUAN'!$E$6,MATCH(RAB!C47,'HARGA SATUAN'!$C$7:$C$1492,0),0))</f>
        <v>Lot</v>
      </c>
      <c r="F47" s="375">
        <v>1</v>
      </c>
      <c r="G47" s="376">
        <f ca="1">IF(ISERROR(OFFSET('HARGA SATUAN'!$I$6,MATCH(RAB!C47,'HARGA SATUAN'!$C$7:$C$1492,0),0)),0,OFFSET('HARGA SATUAN'!$I$6,MATCH(RAB!C47,'HARGA SATUAN'!$C$7:$C$1492,0),0))</f>
        <v>2.5000000000000001E-2</v>
      </c>
      <c r="H47" s="377"/>
      <c r="I47" s="377"/>
      <c r="J47" s="377">
        <f ca="1">2.5%*(SUM(K14:K46))</f>
        <v>516759.2</v>
      </c>
      <c r="K47" s="378">
        <f ca="1">SUM(H47:J47)</f>
        <v>516759.2</v>
      </c>
    </row>
    <row r="48" spans="2:11">
      <c r="B48" s="379"/>
      <c r="C48" s="380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IF(ISERROR(OFFSET('HARGA SATUAN'!$E$6,MATCH(RAB!C48,'HARGA SATUAN'!$C$7:$C$1492,0),0)),"",OFFSET('HARGA SATUAN'!$E$6,MATCH(RAB!C48,'HARGA SATUAN'!$C$7:$C$1492,0),0))</f>
        <v/>
      </c>
      <c r="F48" s="370"/>
      <c r="G48" s="360" t="str">
        <f ca="1">IF(ISERROR(OFFSET('HARGA SATUAN'!$I$6,MATCH(RAB!C48,'HARGA SATUAN'!$C$7:$C$1492,0),0)),"",OFFSET('HARGA SATUAN'!$I$6,MATCH(RAB!C48,'HARGA SATUAN'!$C$7:$C$1492,0),0))</f>
        <v/>
      </c>
      <c r="H48" s="361">
        <f ca="1">IF(OR(D48="MDU",D48="MDU-KD"),IF(G48="PLN",0,G48*F48),0)</f>
        <v>0</v>
      </c>
      <c r="I48" s="361">
        <f ca="1">IF(D48="HDW",IF(G48="PLN",0,G48*F48),0)</f>
        <v>0</v>
      </c>
      <c r="J48" s="361">
        <f ca="1">IF(D48="JASA",IF(G48="PLN",0,G48*F48),0)</f>
        <v>0</v>
      </c>
      <c r="K48" s="362">
        <f ca="1">SUM(H48:J48)</f>
        <v>0</v>
      </c>
    </row>
    <row r="49" spans="2:13" ht="15.75" thickBot="1">
      <c r="B49" s="381"/>
      <c r="C49" s="382"/>
      <c r="D49" s="383"/>
      <c r="E49" s="384"/>
      <c r="F49" s="384"/>
      <c r="G49" s="384"/>
      <c r="H49" s="385"/>
      <c r="I49" s="385"/>
      <c r="J49" s="385"/>
      <c r="K49" s="386"/>
    </row>
    <row r="50" spans="2:13">
      <c r="B50" s="387"/>
      <c r="C50" s="605" t="s">
        <v>1008</v>
      </c>
      <c r="D50" s="605"/>
      <c r="E50" s="605"/>
      <c r="F50" s="605"/>
      <c r="G50" s="388" t="s">
        <v>9</v>
      </c>
      <c r="H50" s="389">
        <f ca="1">SUM(H14:H48)</f>
        <v>14729800</v>
      </c>
      <c r="I50" s="389">
        <f ca="1">SUM(I14:I48)</f>
        <v>4978388</v>
      </c>
      <c r="J50" s="389">
        <f ca="1">SUM(J14:J48)</f>
        <v>1478939.2</v>
      </c>
      <c r="K50" s="389">
        <f ca="1">SUM(K14:K48)</f>
        <v>21187127.199999999</v>
      </c>
    </row>
    <row r="51" spans="2:13">
      <c r="B51" s="390"/>
      <c r="C51" s="622" t="s">
        <v>1457</v>
      </c>
      <c r="D51" s="622"/>
      <c r="E51" s="622"/>
      <c r="F51" s="622"/>
      <c r="G51" s="391" t="s">
        <v>9</v>
      </c>
      <c r="H51" s="392">
        <f ca="1">H50*0.11</f>
        <v>1620278</v>
      </c>
      <c r="I51" s="392">
        <f ca="1">I50*0.11</f>
        <v>547622.68000000005</v>
      </c>
      <c r="J51" s="392">
        <f ca="1">J50*0.11</f>
        <v>162683.31200000001</v>
      </c>
      <c r="K51" s="392">
        <f ca="1">K50*0.11</f>
        <v>2330583.9920000001</v>
      </c>
    </row>
    <row r="52" spans="2:13" ht="15.75" thickBot="1">
      <c r="B52" s="390"/>
      <c r="C52" s="619" t="s">
        <v>463</v>
      </c>
      <c r="D52" s="619"/>
      <c r="E52" s="619"/>
      <c r="F52" s="619"/>
      <c r="G52" s="393" t="s">
        <v>9</v>
      </c>
      <c r="H52" s="394">
        <f ca="1">SUM(H50:H51)</f>
        <v>16350078</v>
      </c>
      <c r="I52" s="394">
        <f ca="1">SUM(I50:I51)</f>
        <v>5526010.6799999997</v>
      </c>
      <c r="J52" s="393">
        <f ca="1">SUM(J50:J51)</f>
        <v>1641622.5119999999</v>
      </c>
      <c r="K52" s="393">
        <f ca="1">SUM(K50:K51)</f>
        <v>23517711.191999998</v>
      </c>
      <c r="M52" s="477"/>
    </row>
    <row r="53" spans="2:13">
      <c r="B53" s="623" t="str">
        <f ca="1">"Terbilang : "&amp;PROPER(IF(K52=0,"nol",IF(K52&lt;0,"minus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IF(--MID(TEXT(ABS(K52),"000000000000000"),1,3)=0,"",MID(TEXT(ABS(K52),"000000000000000"),1,1)&amp;" ratus "&amp;MID(TEXT(ABS(K52),"000000000000000"),2,1)&amp;" puluh "&amp;MID(TEXT(ABS(K52),"000000000000000"),3,1)&amp;" trilyun ")&amp; IF(--MID(TEXT(ABS(K52),"000000000000000"),4,3)=0,"",MID(TEXT(ABS(K52),"000000000000000"),4,1)&amp;" ratus "&amp;MID(TEXT(ABS(K52),"000000000000000"),5,1)&amp;" puluh "&amp;MID(TEXT(ABS(K52),"000000000000000"),6,1)&amp;" milyar ")&amp; IF(--MID(TEXT(ABS(K52),"000000000000000"),7,3)=0,"",MID(TEXT(ABS(K52),"000000000000000"),7,1)&amp;" ratus "&amp;MID(TEXT(ABS(K52),"000000000000000"),8,1)&amp;" puluh "&amp;MID(TEXT(ABS(K52),"000000000000000"),9,1)&amp;" juta ")&amp; IF(--MID(TEXT(ABS(K52),"000000000000000"),10,3)=0,"",IF(--MID(TEXT(ABS(K52),"000000000000000"),10,3)=1,"*",MID(TEXT(ABS(K52),"000000000000000"),10,1)&amp;" ratus "&amp;MID(TEXT(ABS(K52),"000000000000000"),11,1)&amp;" puluh ")&amp;MID(TEXT(ABS(K52),"000000000000000"),12,1)&amp;" ribu ")&amp; IF(--MID(TEXT(ABS(K52),"000000000000000"),13,3)=0,"",MID(TEXT(ABS(K52),"000000000000000"),13,1)&amp;" ratus "&amp;MID(TEXT(ABS(K52),"000000000000000"),14,1)&amp;" puluh "&amp;MID(TEXT(ABS(K52),"000000000000000"),15,1)),1,"satu"),2,"dua"),3,"tiga"),4,"empat"),5,"lima"),6,"enam"),7,"tujuh"),8,"delapan"),9,"sembilan"),"0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Tiga Juta Lima Ratus Tujuh Belas Ribu Tujuh Ratus Sebelas Rupiah</v>
      </c>
      <c r="C53" s="624"/>
      <c r="D53" s="624"/>
      <c r="E53" s="624"/>
      <c r="F53" s="624"/>
      <c r="G53" s="624"/>
      <c r="H53" s="624"/>
      <c r="I53" s="624"/>
      <c r="J53" s="624"/>
      <c r="K53" s="625"/>
    </row>
    <row r="54" spans="2:13">
      <c r="B54" s="626"/>
      <c r="C54" s="627"/>
      <c r="D54" s="627"/>
      <c r="E54" s="627"/>
      <c r="F54" s="627"/>
      <c r="G54" s="627"/>
      <c r="H54" s="627"/>
      <c r="I54" s="627"/>
      <c r="J54" s="627"/>
      <c r="K54" s="628"/>
    </row>
    <row r="55" spans="2:13" ht="15.75" thickBot="1">
      <c r="B55" s="395" t="str">
        <f>"Harga yang dipakai adalah "&amp;'HARGA SATUAN'!I5&amp;""</f>
        <v>Harga yang dipakai adalah RAB HSS 2023</v>
      </c>
      <c r="C55" s="396"/>
      <c r="D55" s="397"/>
      <c r="E55" s="397"/>
      <c r="F55" s="397"/>
      <c r="G55" s="398"/>
      <c r="H55" s="398"/>
      <c r="I55" s="398"/>
      <c r="J55" s="398"/>
      <c r="K55" s="399"/>
    </row>
    <row r="56" spans="2:13">
      <c r="C56" s="400"/>
      <c r="E56" s="402"/>
      <c r="F56" s="402"/>
      <c r="G56" s="402"/>
    </row>
    <row r="57" spans="2:13">
      <c r="C57" s="337"/>
      <c r="E57" s="402"/>
      <c r="F57" s="402"/>
      <c r="G57" s="402"/>
      <c r="H57" s="629"/>
      <c r="I57" s="629"/>
      <c r="J57" s="630"/>
      <c r="K57" s="630"/>
    </row>
    <row r="58" spans="2:13">
      <c r="C58" s="337"/>
      <c r="E58" s="402"/>
      <c r="F58" s="402"/>
      <c r="G58" s="402"/>
      <c r="H58" s="403"/>
      <c r="I58" s="618" t="s">
        <v>1623</v>
      </c>
      <c r="J58" s="618"/>
      <c r="K58" s="618"/>
    </row>
    <row r="59" spans="2:13">
      <c r="C59" s="337"/>
      <c r="E59" s="402"/>
      <c r="F59" s="402"/>
      <c r="G59" s="402"/>
      <c r="H59" s="403"/>
      <c r="I59" s="618" t="s">
        <v>1609</v>
      </c>
      <c r="J59" s="618"/>
      <c r="K59" s="618"/>
    </row>
    <row r="60" spans="2:13">
      <c r="C60" s="337"/>
      <c r="E60" s="402"/>
      <c r="F60" s="402"/>
      <c r="G60" s="402"/>
      <c r="H60" s="404"/>
      <c r="I60" s="405"/>
      <c r="J60" s="405"/>
      <c r="K60" s="405"/>
    </row>
    <row r="61" spans="2:13">
      <c r="C61" s="337"/>
      <c r="E61" s="402"/>
      <c r="F61" s="402"/>
      <c r="G61" s="402"/>
      <c r="H61" s="404"/>
      <c r="I61" s="404"/>
      <c r="J61" s="404"/>
      <c r="K61" s="404"/>
    </row>
    <row r="62" spans="2:13">
      <c r="C62" s="337"/>
      <c r="E62" s="402"/>
      <c r="F62" s="402"/>
      <c r="G62" s="402"/>
      <c r="H62" s="404"/>
      <c r="I62" s="404"/>
      <c r="J62" s="404"/>
      <c r="K62" s="404"/>
    </row>
    <row r="63" spans="2:13">
      <c r="C63" s="337"/>
      <c r="E63" s="402"/>
      <c r="F63" s="402"/>
      <c r="G63" s="402"/>
      <c r="H63" s="404"/>
      <c r="I63" s="404"/>
      <c r="J63" s="404"/>
      <c r="K63" s="404"/>
    </row>
    <row r="64" spans="2:13">
      <c r="C64" s="337"/>
      <c r="E64" s="402"/>
      <c r="F64" s="402"/>
      <c r="G64" s="402"/>
      <c r="H64" s="406"/>
      <c r="I64" s="618" t="s">
        <v>1610</v>
      </c>
      <c r="J64" s="618"/>
      <c r="K64" s="618"/>
    </row>
    <row r="65" spans="3:11">
      <c r="C65" s="400"/>
      <c r="E65" s="402"/>
      <c r="F65" s="402"/>
      <c r="G65" s="402"/>
      <c r="H65" s="404"/>
      <c r="I65" s="404"/>
      <c r="J65" s="404"/>
      <c r="K65" s="404"/>
    </row>
    <row r="66" spans="3:11">
      <c r="C66" s="400"/>
      <c r="E66" s="402"/>
      <c r="F66" s="402"/>
      <c r="G66" s="402"/>
      <c r="H66" s="404"/>
      <c r="I66" s="404"/>
      <c r="J66" s="404"/>
      <c r="K66" s="404"/>
    </row>
    <row r="67" spans="3:11">
      <c r="C67" s="400"/>
      <c r="E67" s="402"/>
      <c r="F67" s="402"/>
      <c r="G67" s="402"/>
      <c r="H67" s="404"/>
      <c r="I67" s="404"/>
      <c r="J67" s="404"/>
      <c r="K67" s="404"/>
    </row>
  </sheetData>
  <sheetProtection sort="0" autoFilter="0"/>
  <protectedRanges>
    <protectedRange sqref="B45" name="Range1_1"/>
    <protectedRange sqref="F14" name="Range1_1_2_2"/>
    <protectedRange sqref="C45" name="Range1_1_3_12"/>
    <protectedRange sqref="B38:B43" name="Range1_1_4"/>
    <protectedRange sqref="B36:C37 B15:C15" name="Range1_6_2"/>
    <protectedRange sqref="C38:C41 C43" name="Range1_3"/>
    <protectedRange sqref="C42" name="Range1_1_2"/>
    <protectedRange sqref="B23:C35 B16:B22" name="Range1_6_2_2"/>
    <protectedRange sqref="C16:C17" name="Range1_6_2_2_1"/>
    <protectedRange sqref="C18" name="Range1_6_2_2_2"/>
    <protectedRange sqref="C19:C22" name="Range1_6_2_2_3"/>
    <protectedRange sqref="F37:F43" name="Range1_1_3_1_1"/>
    <protectedRange sqref="F16:F36" name="Range1_1_2_2_3_2"/>
  </protectedRanges>
  <mergeCells count="22">
    <mergeCell ref="I59:K59"/>
    <mergeCell ref="I64:K64"/>
    <mergeCell ref="C52:F52"/>
    <mergeCell ref="G6:K6"/>
    <mergeCell ref="I58:K58"/>
    <mergeCell ref="C51:F51"/>
    <mergeCell ref="B53:K54"/>
    <mergeCell ref="H57:K57"/>
    <mergeCell ref="H11:K11"/>
    <mergeCell ref="H12:H13"/>
    <mergeCell ref="J12:J13"/>
    <mergeCell ref="K12:K13"/>
    <mergeCell ref="O3:P4"/>
    <mergeCell ref="B4:K4"/>
    <mergeCell ref="C50:F50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E45:K46 G23:K44 E23:E44 E15:K22">
    <cfRule type="cellIs" dxfId="11" priority="54" stopIfTrue="1" operator="equal">
      <formula>0</formula>
    </cfRule>
  </conditionalFormatting>
  <conditionalFormatting sqref="C45">
    <cfRule type="cellIs" dxfId="10" priority="73" operator="equal">
      <formula>0</formula>
    </cfRule>
  </conditionalFormatting>
  <conditionalFormatting sqref="E1:E3 G1:G13 E5:E13 H12:I12 O13 S14:V14 E47:G47 H47:K49 E48:H48 E49:F49">
    <cfRule type="cellIs" dxfId="9" priority="1055" stopIfTrue="1" operator="equal">
      <formula>0</formula>
    </cfRule>
  </conditionalFormatting>
  <conditionalFormatting sqref="E14:K14">
    <cfRule type="cellIs" dxfId="8" priority="23" stopIfTrue="1" operator="equal">
      <formula>0</formula>
    </cfRule>
  </conditionalFormatting>
  <conditionalFormatting sqref="G48:G65514 E53:E65514">
    <cfRule type="cellIs" dxfId="7" priority="189" stopIfTrue="1" operator="equal">
      <formula>0</formula>
    </cfRule>
  </conditionalFormatting>
  <conditionalFormatting sqref="F44">
    <cfRule type="cellIs" dxfId="6" priority="14" stopIfTrue="1" operator="equal">
      <formula>0</formula>
    </cfRule>
  </conditionalFormatting>
  <conditionalFormatting sqref="F29">
    <cfRule type="cellIs" dxfId="5" priority="11" stopIfTrue="1" operator="equal">
      <formula>0</formula>
    </cfRule>
  </conditionalFormatting>
  <conditionalFormatting sqref="F37">
    <cfRule type="cellIs" dxfId="4" priority="10" stopIfTrue="1" operator="equal">
      <formula>0</formula>
    </cfRule>
  </conditionalFormatting>
  <conditionalFormatting sqref="F38:F43">
    <cfRule type="cellIs" dxfId="3" priority="9" stopIfTrue="1" operator="equal">
      <formula>0</formula>
    </cfRule>
  </conditionalFormatting>
  <conditionalFormatting sqref="F23:F28">
    <cfRule type="cellIs" dxfId="2" priority="8" stopIfTrue="1" operator="equal">
      <formula>0</formula>
    </cfRule>
  </conditionalFormatting>
  <conditionalFormatting sqref="F30:F36">
    <cfRule type="cellIs" dxfId="1" priority="7" stopIfTrue="1" operator="equal">
      <formula>0</formula>
    </cfRule>
  </conditionalFormatting>
  <conditionalFormatting sqref="C39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45:F46 H14:K49 F15:F37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13" zoomScale="85" zoomScaleNormal="115" zoomScaleSheetLayoutView="85" workbookViewId="0">
      <selection activeCell="I32" sqref="I32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3" t="s">
        <v>1439</v>
      </c>
      <c r="X2" s="634"/>
      <c r="Y2" s="634"/>
      <c r="Z2" s="634"/>
      <c r="AA2" s="634"/>
      <c r="AB2" s="634"/>
      <c r="AC2" s="634"/>
      <c r="AD2" s="635"/>
    </row>
    <row r="3" spans="3:30">
      <c r="C3" s="238"/>
      <c r="W3" s="636"/>
      <c r="X3" s="637"/>
      <c r="Y3" s="637"/>
      <c r="Z3" s="637"/>
      <c r="AA3" s="637"/>
      <c r="AB3" s="637"/>
      <c r="AC3" s="637"/>
      <c r="AD3" s="638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9" t="s">
        <v>990</v>
      </c>
      <c r="Y5" s="639"/>
      <c r="Z5" s="639"/>
      <c r="AA5" s="639" t="s">
        <v>988</v>
      </c>
      <c r="AB5" s="639"/>
      <c r="AC5" s="639" t="s">
        <v>989</v>
      </c>
      <c r="AD5" s="640"/>
    </row>
    <row r="6" spans="3:30">
      <c r="C6" s="238"/>
      <c r="W6" s="241">
        <v>1</v>
      </c>
      <c r="X6" s="639" t="s">
        <v>993</v>
      </c>
      <c r="Y6" s="639"/>
      <c r="Z6" s="639"/>
      <c r="AA6" s="639"/>
      <c r="AB6" s="639"/>
      <c r="AC6" s="639"/>
      <c r="AD6" s="640"/>
    </row>
    <row r="7" spans="3:30">
      <c r="C7" s="238"/>
      <c r="E7" s="483" t="s">
        <v>1616</v>
      </c>
      <c r="W7" s="241">
        <v>2</v>
      </c>
      <c r="X7" s="639" t="s">
        <v>994</v>
      </c>
      <c r="Y7" s="639"/>
      <c r="Z7" s="639"/>
      <c r="AA7" s="639"/>
      <c r="AB7" s="639"/>
      <c r="AC7" s="639"/>
      <c r="AD7" s="640"/>
    </row>
    <row r="8" spans="3:30">
      <c r="C8" s="238"/>
      <c r="W8" s="241">
        <v>3</v>
      </c>
      <c r="X8" s="639" t="s">
        <v>995</v>
      </c>
      <c r="Y8" s="639"/>
      <c r="Z8" s="639"/>
      <c r="AA8" s="639"/>
      <c r="AB8" s="639"/>
      <c r="AC8" s="639"/>
      <c r="AD8" s="640"/>
    </row>
    <row r="9" spans="3:30">
      <c r="C9" s="238"/>
      <c r="W9" s="241">
        <v>4</v>
      </c>
      <c r="X9" s="639" t="s">
        <v>996</v>
      </c>
      <c r="Y9" s="639"/>
      <c r="Z9" s="639"/>
      <c r="AA9" s="639"/>
      <c r="AB9" s="639"/>
      <c r="AC9" s="639"/>
      <c r="AD9" s="640"/>
    </row>
    <row r="10" spans="3:30">
      <c r="C10" s="238"/>
      <c r="W10" s="241">
        <v>5</v>
      </c>
      <c r="X10" s="639" t="s">
        <v>997</v>
      </c>
      <c r="Y10" s="639"/>
      <c r="Z10" s="639"/>
      <c r="AA10" s="639"/>
      <c r="AB10" s="639"/>
      <c r="AC10" s="639"/>
      <c r="AD10" s="640"/>
    </row>
    <row r="11" spans="3:30">
      <c r="C11" s="238"/>
      <c r="W11" s="241">
        <v>6</v>
      </c>
      <c r="X11" s="639" t="s">
        <v>998</v>
      </c>
      <c r="Y11" s="639"/>
      <c r="Z11" s="639"/>
      <c r="AA11" s="639"/>
      <c r="AB11" s="639"/>
      <c r="AC11" s="639"/>
      <c r="AD11" s="640"/>
    </row>
    <row r="12" spans="3:30">
      <c r="C12" s="238"/>
      <c r="W12" s="241">
        <v>7</v>
      </c>
      <c r="X12" s="639" t="s">
        <v>999</v>
      </c>
      <c r="Y12" s="639"/>
      <c r="Z12" s="639"/>
      <c r="AA12" s="639"/>
      <c r="AB12" s="639"/>
      <c r="AC12" s="639"/>
      <c r="AD12" s="640"/>
    </row>
    <row r="13" spans="3:30" ht="12.75" customHeight="1">
      <c r="C13" s="238"/>
      <c r="W13" s="241">
        <v>8</v>
      </c>
      <c r="X13" s="639" t="s">
        <v>1000</v>
      </c>
      <c r="Y13" s="639"/>
      <c r="Z13" s="639"/>
      <c r="AA13" s="639"/>
      <c r="AB13" s="639"/>
      <c r="AC13" s="639"/>
      <c r="AD13" s="640"/>
    </row>
    <row r="14" spans="3:30">
      <c r="C14" s="238"/>
      <c r="W14" s="241">
        <v>9</v>
      </c>
      <c r="X14" s="639" t="s">
        <v>1001</v>
      </c>
      <c r="Y14" s="639"/>
      <c r="Z14" s="639"/>
      <c r="AA14" s="639"/>
      <c r="AB14" s="639"/>
      <c r="AC14" s="639"/>
      <c r="AD14" s="640"/>
    </row>
    <row r="15" spans="3:30">
      <c r="C15" s="238"/>
      <c r="W15" s="241">
        <v>10</v>
      </c>
      <c r="X15" s="639" t="s">
        <v>1010</v>
      </c>
      <c r="Y15" s="639"/>
      <c r="Z15" s="639"/>
      <c r="AA15" s="639"/>
      <c r="AB15" s="639"/>
      <c r="AC15" s="639"/>
      <c r="AD15" s="640"/>
    </row>
    <row r="16" spans="3:30">
      <c r="C16" s="238"/>
      <c r="W16" s="241">
        <v>11</v>
      </c>
      <c r="X16" s="639" t="s">
        <v>1455</v>
      </c>
      <c r="Y16" s="639"/>
      <c r="Z16" s="639"/>
      <c r="AA16" s="639"/>
      <c r="AB16" s="639"/>
      <c r="AC16" s="639"/>
      <c r="AD16" s="640"/>
    </row>
    <row r="17" spans="3:30">
      <c r="C17" s="238"/>
      <c r="S17" s="242"/>
      <c r="W17" s="241">
        <v>12</v>
      </c>
      <c r="X17" s="639" t="s">
        <v>1011</v>
      </c>
      <c r="Y17" s="639"/>
      <c r="Z17" s="639"/>
      <c r="AA17" s="639"/>
      <c r="AB17" s="639"/>
      <c r="AC17" s="639"/>
      <c r="AD17" s="640"/>
    </row>
    <row r="18" spans="3:30">
      <c r="C18" s="243"/>
      <c r="D18" s="244"/>
      <c r="E18" s="244"/>
      <c r="W18" s="241">
        <v>13</v>
      </c>
      <c r="X18" s="639"/>
      <c r="Y18" s="639"/>
      <c r="Z18" s="639"/>
      <c r="AA18" s="639"/>
      <c r="AB18" s="639"/>
      <c r="AC18" s="639"/>
      <c r="AD18" s="640"/>
    </row>
    <row r="19" spans="3:30">
      <c r="C19" s="238"/>
      <c r="W19" s="245"/>
      <c r="X19" s="656"/>
      <c r="Y19" s="656"/>
      <c r="Z19" s="656"/>
      <c r="AA19" s="656"/>
      <c r="AB19" s="656"/>
      <c r="AC19" s="656"/>
      <c r="AD19" s="657"/>
    </row>
    <row r="20" spans="3:30">
      <c r="C20" s="238"/>
      <c r="W20" s="641" t="s">
        <v>992</v>
      </c>
      <c r="X20" s="642"/>
      <c r="Y20" s="642"/>
      <c r="Z20" s="642"/>
      <c r="AA20" s="642"/>
      <c r="AB20" s="642"/>
      <c r="AC20" s="642"/>
      <c r="AD20" s="643"/>
    </row>
    <row r="21" spans="3:30">
      <c r="C21" s="238"/>
      <c r="W21" s="644" t="s">
        <v>985</v>
      </c>
      <c r="X21" s="645"/>
      <c r="Y21" s="645"/>
      <c r="Z21" s="646"/>
      <c r="AA21" s="647" t="s">
        <v>986</v>
      </c>
      <c r="AB21" s="648"/>
      <c r="AC21" s="648"/>
      <c r="AD21" s="649"/>
    </row>
    <row r="22" spans="3:30">
      <c r="C22" s="238"/>
      <c r="W22" s="650"/>
      <c r="X22" s="651"/>
      <c r="Y22" s="485"/>
      <c r="Z22" s="488"/>
      <c r="AA22" s="652"/>
      <c r="AB22" s="653"/>
      <c r="AC22" s="248"/>
      <c r="AD22" s="249"/>
    </row>
    <row r="23" spans="3:30">
      <c r="C23" s="238"/>
      <c r="W23" s="650"/>
      <c r="X23" s="651"/>
      <c r="Y23" s="485"/>
      <c r="Z23" s="488"/>
      <c r="AA23" s="654"/>
      <c r="AB23" s="655"/>
      <c r="AC23" s="248"/>
      <c r="AD23" s="249"/>
    </row>
    <row r="24" spans="3:30">
      <c r="C24" s="238"/>
      <c r="W24" s="660"/>
      <c r="X24" s="661"/>
      <c r="Y24" s="246"/>
      <c r="Z24" s="247"/>
      <c r="AA24" s="662"/>
      <c r="AB24" s="663"/>
      <c r="AC24" s="248"/>
      <c r="AD24" s="249"/>
    </row>
    <row r="25" spans="3:30">
      <c r="C25" s="238"/>
      <c r="W25" s="660"/>
      <c r="X25" s="661"/>
      <c r="Y25" s="246"/>
      <c r="Z25" s="247"/>
      <c r="AA25" s="654"/>
      <c r="AB25" s="655"/>
      <c r="AC25" s="248"/>
      <c r="AD25" s="249"/>
    </row>
    <row r="26" spans="3:30">
      <c r="C26" s="238"/>
      <c r="W26" s="473"/>
      <c r="X26" s="474"/>
      <c r="Y26" s="246"/>
      <c r="Z26" s="247"/>
      <c r="AA26" s="654"/>
      <c r="AB26" s="655"/>
      <c r="AC26" s="248"/>
      <c r="AD26" s="249"/>
    </row>
    <row r="27" spans="3:30">
      <c r="C27" s="238"/>
      <c r="W27" s="473"/>
      <c r="X27" s="474"/>
      <c r="Y27" s="246"/>
      <c r="Z27" s="247"/>
      <c r="AA27" s="658"/>
      <c r="AB27" s="659"/>
      <c r="AC27" s="248"/>
      <c r="AD27" s="249"/>
    </row>
    <row r="28" spans="3:30">
      <c r="C28" s="238"/>
      <c r="W28" s="473"/>
      <c r="X28" s="474"/>
      <c r="Y28" s="246"/>
      <c r="Z28" s="247"/>
      <c r="AA28" s="658"/>
      <c r="AB28" s="659"/>
      <c r="AC28" s="248"/>
      <c r="AD28" s="249"/>
    </row>
    <row r="29" spans="3:30">
      <c r="C29" s="238"/>
      <c r="W29" s="473"/>
      <c r="X29" s="474"/>
      <c r="Y29" s="246"/>
      <c r="Z29" s="247"/>
      <c r="AA29" s="658"/>
      <c r="AB29" s="659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58"/>
      <c r="AB30" s="659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58"/>
      <c r="AB31" s="659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58"/>
      <c r="AB32" s="659"/>
      <c r="AC32" s="248"/>
      <c r="AD32" s="249"/>
    </row>
    <row r="33" spans="3:30">
      <c r="C33" s="238"/>
      <c r="W33" s="473"/>
      <c r="X33" s="474"/>
      <c r="Y33" s="246"/>
      <c r="Z33" s="247"/>
      <c r="AA33" s="658"/>
      <c r="AB33" s="659"/>
      <c r="AC33" s="248"/>
      <c r="AD33" s="249"/>
    </row>
    <row r="34" spans="3:30">
      <c r="C34" s="238"/>
      <c r="W34" s="473"/>
      <c r="X34" s="474"/>
      <c r="Y34" s="246"/>
      <c r="Z34" s="247"/>
      <c r="AA34" s="658"/>
      <c r="AB34" s="659"/>
      <c r="AC34" s="248"/>
      <c r="AD34" s="249"/>
    </row>
    <row r="35" spans="3:30">
      <c r="C35" s="238"/>
      <c r="W35" s="660"/>
      <c r="X35" s="673"/>
      <c r="Y35" s="246"/>
      <c r="Z35" s="247"/>
      <c r="AA35" s="658"/>
      <c r="AB35" s="659"/>
      <c r="AC35" s="248"/>
      <c r="AD35" s="249"/>
    </row>
    <row r="36" spans="3:30">
      <c r="C36" s="238"/>
      <c r="W36" s="664"/>
      <c r="X36" s="665"/>
      <c r="Y36" s="246"/>
      <c r="Z36" s="251"/>
      <c r="AA36" s="666"/>
      <c r="AB36" s="659"/>
      <c r="AC36" s="248"/>
      <c r="AD36" s="249"/>
    </row>
    <row r="37" spans="3:30" ht="12.75" customHeight="1">
      <c r="C37" s="238"/>
      <c r="W37" s="667"/>
      <c r="X37" s="668"/>
      <c r="Y37" s="246"/>
      <c r="Z37" s="251"/>
      <c r="AA37" s="669"/>
      <c r="AB37" s="670"/>
      <c r="AC37" s="252"/>
      <c r="AD37" s="253"/>
    </row>
    <row r="38" spans="3:30" ht="12.75" customHeight="1">
      <c r="C38" s="238"/>
      <c r="W38" s="667"/>
      <c r="X38" s="66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7"/>
      <c r="X39" s="668"/>
      <c r="Y39" s="254"/>
      <c r="Z39" s="257"/>
      <c r="AA39" s="671"/>
      <c r="AB39" s="672"/>
      <c r="AC39" s="252"/>
      <c r="AD39" s="253"/>
    </row>
    <row r="40" spans="3:30" ht="12" customHeight="1">
      <c r="C40" s="238"/>
      <c r="W40" s="677"/>
      <c r="X40" s="67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9"/>
      <c r="X41" s="680"/>
      <c r="Y41" s="260"/>
      <c r="Z41" s="261"/>
      <c r="AA41" s="671"/>
      <c r="AB41" s="672"/>
      <c r="AC41" s="252"/>
      <c r="AD41" s="253"/>
    </row>
    <row r="42" spans="3:30" ht="12" customHeight="1">
      <c r="C42" s="238"/>
      <c r="W42" s="681" t="s">
        <v>1456</v>
      </c>
      <c r="X42" s="682"/>
      <c r="Y42" s="682"/>
      <c r="Z42" s="68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4" t="s">
        <v>11</v>
      </c>
      <c r="X44" s="675"/>
      <c r="Y44" s="639"/>
      <c r="Z44" s="639"/>
      <c r="AA44" s="639"/>
      <c r="AB44" s="639"/>
      <c r="AC44" s="639"/>
      <c r="AD44" s="640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4" t="s">
        <v>984</v>
      </c>
      <c r="X45" s="675"/>
      <c r="Y45" s="639">
        <v>1</v>
      </c>
      <c r="Z45" s="639"/>
      <c r="AA45" s="639"/>
      <c r="AB45" s="639" t="s">
        <v>12</v>
      </c>
      <c r="AC45" s="63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4" t="s">
        <v>15</v>
      </c>
      <c r="X46" s="675"/>
      <c r="Y46" s="676"/>
      <c r="Z46" s="676"/>
      <c r="AA46" s="676"/>
      <c r="AB46" s="639" t="s">
        <v>16</v>
      </c>
      <c r="AC46" s="63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87" t="s">
        <v>17</v>
      </c>
      <c r="X47" s="687"/>
      <c r="Y47" s="687"/>
      <c r="Z47" s="687"/>
      <c r="AA47" s="687"/>
      <c r="AB47" s="687"/>
      <c r="AC47" s="687"/>
      <c r="AD47" s="68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89" t="str">
        <f>RAB!G6</f>
        <v>ALFAMART SULUR</v>
      </c>
      <c r="X48" s="690"/>
      <c r="Y48" s="690"/>
      <c r="Z48" s="690"/>
      <c r="AA48" s="690"/>
      <c r="AB48" s="690"/>
      <c r="AC48" s="690"/>
      <c r="AD48" s="69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89" t="str">
        <f>RAB!G7</f>
        <v>SULURSARI 2/5</v>
      </c>
      <c r="X49" s="690"/>
      <c r="Y49" s="690"/>
      <c r="Z49" s="690"/>
      <c r="AA49" s="690"/>
      <c r="AB49" s="690"/>
      <c r="AC49" s="690"/>
      <c r="AD49" s="69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4" t="s">
        <v>18</v>
      </c>
      <c r="X52" s="675"/>
      <c r="Y52" s="639" t="s">
        <v>1607</v>
      </c>
      <c r="Z52" s="639"/>
      <c r="AA52" s="639"/>
      <c r="AB52" s="639"/>
      <c r="AC52" s="639"/>
      <c r="AD52" s="64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4" t="s">
        <v>19</v>
      </c>
      <c r="X53" s="675"/>
      <c r="Y53" s="639" t="s">
        <v>1608</v>
      </c>
      <c r="Z53" s="639"/>
      <c r="AA53" s="639"/>
      <c r="AB53" s="639"/>
      <c r="AC53" s="639"/>
      <c r="AD53" s="64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4" t="s">
        <v>20</v>
      </c>
      <c r="X54" s="675"/>
      <c r="Y54" s="683" t="s">
        <v>1547</v>
      </c>
      <c r="Z54" s="683"/>
      <c r="AA54" s="683"/>
      <c r="AB54" s="639"/>
      <c r="AC54" s="639"/>
      <c r="AD54" s="64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4" t="s">
        <v>21</v>
      </c>
      <c r="X55" s="685"/>
      <c r="Y55" s="683"/>
      <c r="Z55" s="683"/>
      <c r="AA55" s="683"/>
      <c r="AB55" s="683"/>
      <c r="AC55" s="683"/>
      <c r="AD55" s="686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topLeftCell="A13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2" t="s">
        <v>1528</v>
      </c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4"/>
      <c r="AD4" s="217"/>
      <c r="AE4" s="216"/>
      <c r="AF4" s="216"/>
    </row>
    <row r="5" spans="2:32" ht="13.5" customHeight="1">
      <c r="B5" s="215"/>
      <c r="C5" s="215"/>
      <c r="D5" s="695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6"/>
      <c r="AC5" s="697"/>
      <c r="AD5" s="217"/>
      <c r="AE5" s="216"/>
      <c r="AF5" s="216"/>
    </row>
    <row r="6" spans="2:32" ht="12.75" customHeight="1">
      <c r="B6" s="215"/>
      <c r="C6" s="215"/>
      <c r="D6" s="695"/>
      <c r="E6" s="696"/>
      <c r="F6" s="696"/>
      <c r="G6" s="696"/>
      <c r="H6" s="696"/>
      <c r="I6" s="696"/>
      <c r="J6" s="696"/>
      <c r="K6" s="696"/>
      <c r="L6" s="696"/>
      <c r="M6" s="696"/>
      <c r="N6" s="696"/>
      <c r="O6" s="696"/>
      <c r="P6" s="696"/>
      <c r="Q6" s="696"/>
      <c r="R6" s="696"/>
      <c r="S6" s="696"/>
      <c r="T6" s="696"/>
      <c r="U6" s="696"/>
      <c r="V6" s="696"/>
      <c r="W6" s="696"/>
      <c r="X6" s="696"/>
      <c r="Y6" s="696"/>
      <c r="Z6" s="696"/>
      <c r="AA6" s="696"/>
      <c r="AB6" s="696"/>
      <c r="AC6" s="697"/>
      <c r="AE6" s="216"/>
      <c r="AF6" s="216"/>
    </row>
    <row r="7" spans="2:32" ht="12.75" customHeight="1" thickBot="1">
      <c r="B7" s="215"/>
      <c r="C7" s="215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  <c r="AA7" s="699"/>
      <c r="AB7" s="699"/>
      <c r="AC7" s="70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6" t="s">
        <v>1527</v>
      </c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696"/>
      <c r="D4" s="696"/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1"/>
      <c r="D6" s="701"/>
      <c r="E6" s="701"/>
      <c r="F6" s="701"/>
      <c r="G6" s="701"/>
      <c r="H6" s="701"/>
      <c r="I6" s="701"/>
      <c r="J6" s="701"/>
      <c r="K6" s="701"/>
      <c r="L6" s="701"/>
      <c r="M6" s="701"/>
      <c r="W6" s="182"/>
      <c r="Y6" s="420"/>
      <c r="Z6" s="420"/>
      <c r="AA6" s="420"/>
      <c r="AB6" s="421"/>
      <c r="AC6" s="421"/>
    </row>
    <row r="7" spans="1:29" ht="18" customHeight="1">
      <c r="A7" s="181"/>
      <c r="C7" s="701"/>
      <c r="D7" s="701"/>
      <c r="E7" s="701"/>
      <c r="F7" s="701"/>
      <c r="G7" s="701"/>
      <c r="H7" s="701"/>
      <c r="I7" s="701"/>
      <c r="J7" s="701"/>
      <c r="K7" s="701"/>
      <c r="L7" s="701"/>
      <c r="M7" s="701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2023-09-04T07:48:54Z</cp:lastPrinted>
  <dcterms:created xsi:type="dcterms:W3CDTF">2011-02-06T11:57:38Z</dcterms:created>
  <dcterms:modified xsi:type="dcterms:W3CDTF">2023-10-16T07:16:10Z</dcterms:modified>
</cp:coreProperties>
</file>