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2. FEBRUARI 2024\14. 52554 KKO KKF BADRUL ANAM PB 41.5 KVA\"/>
    </mc:Choice>
  </mc:AlternateContent>
  <bookViews>
    <workbookView xWindow="0" yWindow="0"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6" i="11" l="1"/>
  <c r="J46" i="11" s="1"/>
  <c r="E46" i="11"/>
  <c r="G46" i="11"/>
  <c r="H46" i="11" l="1"/>
  <c r="I46" i="11"/>
  <c r="D33" i="11"/>
  <c r="E33" i="11"/>
  <c r="G33" i="11"/>
  <c r="G6" i="11"/>
  <c r="K46" i="11" l="1"/>
  <c r="F56" i="11" l="1"/>
  <c r="F55" i="11"/>
  <c r="F54" i="11"/>
  <c r="F53" i="11"/>
  <c r="F52" i="11"/>
  <c r="F51" i="11"/>
  <c r="F50" i="11"/>
  <c r="F49" i="11"/>
  <c r="F48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E56" i="11"/>
  <c r="G56" i="11"/>
  <c r="D58" i="11"/>
  <c r="J58" i="11" s="1"/>
  <c r="E58" i="11"/>
  <c r="G58" i="11"/>
  <c r="G23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41" i="11"/>
  <c r="G42" i="11"/>
  <c r="G43" i="11"/>
  <c r="J56" i="11" l="1"/>
  <c r="I55" i="11"/>
  <c r="I51" i="11"/>
  <c r="J50" i="11"/>
  <c r="H47" i="11"/>
  <c r="I47" i="11"/>
  <c r="I50" i="11"/>
  <c r="I58" i="11"/>
  <c r="J49" i="11"/>
  <c r="J53" i="11"/>
  <c r="H51" i="11"/>
  <c r="H58" i="11"/>
  <c r="I49" i="11"/>
  <c r="I48" i="11"/>
  <c r="I54" i="11"/>
  <c r="I56" i="11"/>
  <c r="H54" i="11"/>
  <c r="H55" i="11"/>
  <c r="I53" i="11"/>
  <c r="I52" i="11"/>
  <c r="H56" i="11"/>
  <c r="H52" i="11"/>
  <c r="H48" i="11"/>
  <c r="K54" i="11" l="1"/>
  <c r="K55" i="11"/>
  <c r="K48" i="11"/>
  <c r="K58" i="11"/>
  <c r="K50" i="11"/>
  <c r="K51" i="11"/>
  <c r="K53" i="11"/>
  <c r="K49" i="11"/>
  <c r="K47" i="11"/>
  <c r="K56" i="11"/>
  <c r="K52" i="11"/>
  <c r="E28" i="11" l="1"/>
  <c r="E29" i="11"/>
  <c r="E30" i="11"/>
  <c r="E31" i="11"/>
  <c r="E32" i="11"/>
  <c r="E34" i="11"/>
  <c r="E35" i="11"/>
  <c r="E36" i="11"/>
  <c r="E37" i="11"/>
  <c r="E38" i="11"/>
  <c r="E39" i="11"/>
  <c r="E40" i="11"/>
  <c r="E41" i="11"/>
  <c r="E42" i="11"/>
  <c r="E43" i="11"/>
  <c r="D45" i="11" l="1"/>
  <c r="I45" i="11" s="1"/>
  <c r="E45" i="11"/>
  <c r="G45" i="11"/>
  <c r="H45" i="11" l="1"/>
  <c r="J45" i="11"/>
  <c r="K45" i="11" l="1"/>
  <c r="F44" i="11" l="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6" i="11"/>
  <c r="D24" i="11" l="1"/>
  <c r="E24" i="11"/>
  <c r="D25" i="11"/>
  <c r="E25" i="11"/>
  <c r="D26" i="11"/>
  <c r="E26" i="11"/>
  <c r="D27" i="11"/>
  <c r="E27" i="11"/>
  <c r="D28" i="11"/>
  <c r="D29" i="11"/>
  <c r="D30" i="11"/>
  <c r="D31" i="11"/>
  <c r="D32" i="11"/>
  <c r="D34" i="11"/>
  <c r="D35" i="11"/>
  <c r="D36" i="11"/>
  <c r="D37" i="11"/>
  <c r="D38" i="11"/>
  <c r="D39" i="11"/>
  <c r="D40" i="11"/>
  <c r="D41" i="11"/>
  <c r="D42" i="11"/>
  <c r="D43" i="11"/>
  <c r="D44" i="11"/>
  <c r="H44" i="11" s="1"/>
  <c r="E44" i="11"/>
  <c r="G44" i="11"/>
  <c r="H33" i="11" l="1"/>
  <c r="I33" i="11"/>
  <c r="J33" i="11"/>
  <c r="I34" i="11"/>
  <c r="J34" i="11"/>
  <c r="H34" i="11"/>
  <c r="I30" i="11"/>
  <c r="J30" i="11"/>
  <c r="H30" i="11"/>
  <c r="H27" i="11"/>
  <c r="I27" i="11"/>
  <c r="J27" i="11"/>
  <c r="J41" i="11"/>
  <c r="H41" i="11"/>
  <c r="I41" i="11"/>
  <c r="H40" i="11"/>
  <c r="I40" i="11"/>
  <c r="J40" i="11"/>
  <c r="H32" i="11"/>
  <c r="I32" i="11"/>
  <c r="J32" i="11"/>
  <c r="H43" i="11"/>
  <c r="I43" i="11"/>
  <c r="J43" i="11"/>
  <c r="H39" i="11"/>
  <c r="I39" i="11"/>
  <c r="J39" i="11"/>
  <c r="H35" i="11"/>
  <c r="I35" i="11"/>
  <c r="J35" i="11"/>
  <c r="H31" i="11"/>
  <c r="I31" i="11"/>
  <c r="J31" i="11"/>
  <c r="I42" i="11"/>
  <c r="J42" i="11"/>
  <c r="H42" i="11"/>
  <c r="J37" i="11"/>
  <c r="H37" i="11"/>
  <c r="I37" i="11"/>
  <c r="J29" i="11"/>
  <c r="H29" i="11"/>
  <c r="I29" i="11"/>
  <c r="I38" i="11"/>
  <c r="J38" i="11"/>
  <c r="H38" i="11"/>
  <c r="J25" i="11"/>
  <c r="H25" i="11"/>
  <c r="I25" i="11"/>
  <c r="H36" i="11"/>
  <c r="I36" i="11"/>
  <c r="J36" i="11"/>
  <c r="H28" i="11"/>
  <c r="I28" i="11"/>
  <c r="J28" i="11"/>
  <c r="I26" i="11"/>
  <c r="J26" i="11"/>
  <c r="H26" i="11"/>
  <c r="H24" i="11"/>
  <c r="I24" i="11"/>
  <c r="J24" i="11"/>
  <c r="J44" i="11"/>
  <c r="I44" i="11"/>
  <c r="K33" i="11" l="1"/>
  <c r="K34" i="11"/>
  <c r="K28" i="11"/>
  <c r="K25" i="11"/>
  <c r="K31" i="11"/>
  <c r="K32" i="11"/>
  <c r="K37" i="11"/>
  <c r="K43" i="11"/>
  <c r="K41" i="11"/>
  <c r="K27" i="11"/>
  <c r="K38" i="11"/>
  <c r="K29" i="11"/>
  <c r="K39" i="11"/>
  <c r="K30" i="11"/>
  <c r="K24" i="11"/>
  <c r="K26" i="11"/>
  <c r="K36" i="11"/>
  <c r="K42" i="11"/>
  <c r="K35" i="11"/>
  <c r="K40" i="11"/>
  <c r="K44" i="1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59" i="11" l="1"/>
  <c r="I59" i="11" s="1"/>
  <c r="E59" i="11"/>
  <c r="G59" i="11"/>
  <c r="J59" i="11" l="1"/>
  <c r="H59" i="11"/>
  <c r="K59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0" i="11"/>
  <c r="D61" i="11"/>
  <c r="H61" i="11" s="1"/>
  <c r="E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1" i="11"/>
  <c r="I61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61" i="11"/>
  <c r="E236" i="29" l="1"/>
  <c r="J60" i="11"/>
  <c r="K60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3" i="11"/>
  <c r="H64" i="11" s="1"/>
  <c r="I63" i="11"/>
  <c r="I64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65" i="11"/>
  <c r="I6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63" i="11"/>
  <c r="K64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63" i="11"/>
  <c r="J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65" i="11"/>
  <c r="B6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<sst xmlns="http://schemas.openxmlformats.org/spreadsheetml/2006/main" count="4726" uniqueCount="1628">
  <si>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</si>
  <si>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</si>
  <si>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</si>
  <si>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</si>
  <si>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</si>
  <si>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</si>
  <si>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</si>
  <si>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</si>
  <si>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</si>
  <si>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</si>
  <si>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</si>
  <si>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</si>
  <si>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</si>
  <si>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</si>
  <si>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</si>
  <si>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</si>
  <si>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</si>
  <si>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</si>
  <si>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</si>
  <si>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</si>
  <si>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</si>
  <si>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</si>
  <si>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</si>
  <si>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</si>
  <si>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</si>
  <si>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</si>
  <si>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</si>
  <si>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</si>
  <si>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</si>
  <si>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</si>
  <si>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</si>
  <si>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</si>
  <si>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</si>
  <si>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</si>
  <si>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</si>
  <si>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</si>
  <si>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</si>
  <si>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</si>
  <si>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</si>
  <si>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</si>
  <si>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</si>
  <si>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</si>
  <si>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</si>
  <si>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</si>
  <si>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</si>
  <si>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</si>
  <si>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</si>
  <si>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</si>
  <si>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</si>
  <si>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</si>
  <si>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</si>
  <si>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</si>
  <si>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</si>
  <si>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</si>
  <si>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</si>
  <si>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</si>
  <si>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</si>
  <si>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</si>
  <si>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</si>
  <si>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</si>
  <si>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</si>
  <si>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</si>
  <si>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</si>
  <si>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</si>
  <si>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</si>
  <si>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</si>
  <si>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</si>
  <si>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</si>
  <si>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</si>
  <si>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</si>
  <si>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</si>
  <si>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</si>
  <si>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</si>
  <si>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</si>
  <si>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</si>
  <si>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</si>
  <si>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</si>
  <si>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</si>
  <si>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</si>
  <si>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</si>
  <si>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</si>
  <si>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</si>
  <si>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</si>
  <si>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</si>
  <si>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</si>
  <si>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</si>
  <si>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</si>
  <si>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</si>
  <si>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</si>
  <si>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</si>
  <si>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</si>
  <si>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</si>
  <si>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</si>
  <si>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</si>
  <si>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</si>
  <si>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</si>
  <si>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</si>
  <si>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</si>
  <si>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</si>
  <si>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</si>
  <si>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</si>
  <si>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</si>
  <si>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</si>
  <si>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</si>
  <si>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</si>
  <si>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</si>
  <si>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</si>
  <si>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</si>
  <si>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</si>
  <si>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</si>
  <si>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</si>
  <si>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</si>
  <si>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</si>
  <si>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</si>
  <si>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</si>
  <si>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</si>
  <si>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</si>
  <si>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</si>
  <si>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</si>
  <si>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</si>
  <si>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</si>
  <si>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</si>
  <si>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</si>
  <si>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</si>
  <si>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</si>
  <si>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</si>
  <si>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</si>
  <si>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</si>
  <si>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</si>
  <si>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</si>
  <si>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</si>
  <si>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</si>
  <si>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</si>
  <si>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</si>
  <si>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</si>
  <si>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</si>
  <si>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</si>
  <si>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</si>
  <si>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</si>
  <si>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</si>
  <si>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</si>
  <si>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</si>
  <si>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</si>
  <si>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</si>
  <si>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</si>
  <si>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</si>
  <si>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</si>
  <si>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</si>
  <si>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</si>
  <si>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</si>
  <si>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</si>
  <si>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</si>
  <si>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</si>
  <si>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</si>
  <si>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</si>
  <si>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</si>
  <si>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</si>
  <si>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</si>
  <si>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</si>
  <si>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</si>
  <si>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</si>
  <si>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</si>
  <si>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</si>
  <si>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</si>
  <si>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</si>
  <si>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</si>
  <si>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</si>
  <si>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</si>
  <si>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</si>
  <si>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</si>
  <si>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</si>
  <si>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</si>
  <si>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</si>
  <si>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</si>
  <si>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</si>
  <si>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</si>
  <si>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</si>
  <si>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</si>
  <si>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</si>
  <si>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</si>
  <si>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</si>
  <si>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</si>
  <si>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</si>
  <si>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</si>
  <si>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</si>
  <si>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</si>
  <si>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</si>
  <si>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</si>
  <si>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</si>
  <si>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</si>
  <si>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</si>
  <si>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</si>
  <si>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</si>
  <si>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</si>
  <si>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</si>
  <si>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</si>
  <si>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</si>
  <si>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</si>
  <si>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</si>
  <si>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</si>
  <si>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</si>
  <si>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</si>
  <si>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</si>
  <si>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</si>
  <si>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</si>
  <si>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</si>
  <si>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</si>
  <si>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</si>
  <si>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</si>
  <si>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</si>
  <si>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</si>
  <si>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</si>
  <si>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</si>
  <si>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</si>
  <si>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</si>
  <si>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</si>
  <si>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</si>
  <si>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</si>
  <si>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</si>
  <si>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</si>
  <si>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</si>
  <si>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</si>
  <si>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</si>
  <si>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</si>
  <si>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</si>
  <si>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</si>
  <si>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</si>
  <si>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</si>
  <si>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</si>
  <si>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</si>
  <si>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</si>
  <si>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</si>
  <si>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</si>
  <si>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</si>
  <si>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</si>
  <si>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</si>
  <si>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</si>
  <si>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</si>
  <si>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</si>
  <si>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</si>
  <si>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</si>
  <si>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</si>
  <si>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</si>
  <si>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</si>
  <si>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</si>
  <si>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</si>
  <si>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</si>
  <si>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</si>
  <si>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</si>
  <si>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</si>
  <si>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</si>
  <si>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</si>
  <si>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</si>
  <si>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</si>
  <si>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</si>
  <si>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</si>
  <si>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</si>
  <si>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</si>
  <si>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</si>
  <si>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</si>
  <si>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</si>
  <si>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</si>
  <si>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</si>
  <si>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</si>
  <si>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</si>
  <si>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</si>
  <si>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</si>
  <si>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</si>
  <si>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</si>
  <si>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</si>
  <si>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</si>
  <si>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</si>
  <si>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</si>
  <si>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</si>
  <si>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</si>
  <si>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</si>
  <si>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</si>
  <si>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</si>
  <si>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</si>
  <si>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</si>
  <si>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</si>
  <si>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</si>
  <si>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</si>
  <si>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</si>
  <si>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</si>
  <si>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</si>
  <si>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</si>
  <si>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</si>
  <si>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</si>
  <si>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</si>
  <si>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</si>
  <si>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</si>
  <si>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</si>
  <si>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</si>
  <si>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</si>
  <si>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</si>
  <si>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</si>
  <si>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</si>
  <si>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</si>
  <si>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</si>
  <si>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</si>
  <si>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</si>
  <si>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</si>
  <si>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</si>
  <si>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</si>
  <si>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</si>
  <si>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</si>
  <si>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</si>
  <si>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</si>
  <si>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</si>
  <si>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</si>
  <si>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</si>
  <si>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</si>
  <si>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</si>
  <si>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</si>
  <si>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</si>
  <si>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</si>
  <si>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</si>
  <si>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</si>
  <si>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</si>
  <si>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</si>
  <si>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</si>
  <si>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</si>
  <si>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</si>
  <si>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</si>
  <si>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</si>
  <si>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</si>
  <si>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</si>
  <si>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</si>
  <si>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</si>
  <si>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</si>
  <si>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</si>
  <si>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</si>
  <si>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</si>
  <si>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</si>
  <si>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</si>
  <si>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</si>
  <si>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</si>
  <si>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</si>
  <si>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</si>
  <si>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</si>
  <si>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</si>
  <si>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</si>
  <si>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</si>
  <si>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</si>
  <si>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</si>
  <si>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</si>
  <si>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</si>
  <si>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</si>
  <si>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</si>
  <si>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</si>
  <si>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</si>
  <si>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</si>
  <si>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</si>
  <si>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</si>
  <si>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</si>
  <si>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</si>
  <si>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</si>
  <si>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</si>
  <si>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</si>
  <si>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</si>
  <si>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</si>
  <si>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</si>
  <si>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</si>
  <si>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</si>
  <si>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</si>
  <si>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</si>
  <si>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</si>
  <si>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</si>
  <si>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</si>
  <si>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</si>
  <si>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</si>
  <si>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</si>
  <si>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</si>
  <si>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</si>
  <si>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</si>
  <si>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</si>
  <si>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</si>
  <si>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</si>
  <si>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</si>
  <si>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</si>
  <si>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</si>
  <si>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</si>
  <si>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</si>
  <si>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</si>
  <si>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</si>
  <si>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</si>
  <si>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</si>
  <si>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</si>
  <si>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</si>
  <si>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</si>
  <si>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</si>
  <si>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</si>
  <si>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</si>
  <si>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</si>
  <si>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</si>
  <si>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</si>
  <si>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</si>
  <si>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</si>
  <si>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</si>
  <si>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</si>
  <si>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</si>
  <si>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</si>
  <si>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</si>
  <si>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</si>
  <si>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</si>
  <si>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</si>
  <si>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</si>
  <si>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</si>
  <si>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</si>
  <si>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</si>
  <si>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</si>
  <si>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</si>
  <si>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</si>
  <si>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</si>
  <si>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</si>
  <si>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</si>
  <si>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</si>
  <si>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</si>
  <si>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</si>
  <si>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</si>
  <si>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</si>
  <si>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</si>
  <si>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</si>
  <si>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</si>
  <si>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</si>
  <si>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</si>
  <si>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</si>
  <si>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</si>
  <si>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</si>
  <si>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</si>
  <si>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</si>
  <si>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</si>
  <si>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</si>
  <si>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</si>
  <si>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</si>
  <si>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</si>
  <si>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</si>
  <si>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</si>
  <si>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</si>
  <si>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</si>
  <si>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</si>
  <si>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</si>
  <si>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</si>
  <si>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</si>
  <si>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</si>
  <si>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</si>
  <si>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</si>
  <si>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</si>
  <si>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</si>
  <si>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</si>
  <si>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</si>
  <si>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</si>
  <si>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</si>
  <si>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</si>
  <si>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</si>
  <si>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</si>
  <si>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</si>
  <si>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</si>
  <si>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</si>
  <si>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</si>
  <si>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</si>
  <si>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</si>
  <si>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</si>
  <si>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</si>
  <si>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</si>
  <si>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</si>
  <si>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</si>
  <si>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</si>
  <si>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</si>
  <si>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</si>
  <si>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</si>
  <si>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</si>
  <si>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</si>
  <si>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</si>
  <si>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</si>
  <si>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</si>
  <si>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</si>
  <si>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</si>
  <si>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</si>
  <si>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</si>
  <si>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</si>
  <si>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</si>
  <si>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</si>
  <si>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</si>
  <si>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</si>
  <si>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</si>
  <si>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</si>
  <si>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</si>
  <si>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</si>
  <si>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</si>
  <si>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</si>
  <si>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</si>
  <si>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</si>
  <si>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</si>
  <si>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</si>
  <si>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</si>
  <si>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</si>
  <si>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</si>
  <si>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</si>
  <si>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</si>
  <si>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</si>
  <si>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</si>
  <si>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</si>
  <si>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</si>
  <si>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</si>
  <si>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</si>
  <si>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</si>
  <si>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</si>
  <si>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</si>
  <si>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</si>
  <si>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</si>
  <si>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</si>
  <si>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</si>
  <si>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</si>
  <si>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</si>
  <si>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</si>
  <si>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</si>
  <si>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</si>
  <si>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</si>
  <si>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</si>
  <si>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</si>
  <si>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</si>
  <si>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</si>
  <si>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</si>
  <si>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</si>
  <si>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</si>
  <si>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</si>
  <si>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</si>
  <si>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</si>
  <si>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</si>
  <si>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</si>
  <si>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</si>
  <si>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</si>
  <si>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</si>
  <si>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</si>
  <si>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</si>
  <si>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</si>
  <si>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</si>
  <si>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</si>
  <si>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</si>
  <si>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</si>
  <si>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</si>
  <si>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</si>
  <si>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</si>
  <si>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</si>
  <si>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</si>
  <si>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</si>
  <si>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</si>
  <si>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</si>
  <si>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</si>
  <si>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</si>
  <si>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</si>
  <si>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</si>
  <si>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</si>
  <si>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</si>
  <si>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</si>
  <si>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</si>
  <si>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</si>
  <si>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</si>
  <si>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</si>
  <si>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</si>
  <si>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</si>
  <si>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</si>
  <si>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</si>
  <si>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</si>
  <si>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</si>
  <si>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</si>
  <si>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</si>
  <si>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</si>
  <si>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</si>
  <si>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</si>
  <si>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</si>
  <si>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</si>
  <si>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</si>
  <si>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</si>
  <si>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</si>
  <si>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</si>
  <si>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</si>
  <si>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</si>
  <si>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</si>
  <si>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</si>
  <si>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</si>
  <si>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</si>
  <si>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</si>
  <si>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</si>
  <si>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</si>
  <si>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</si>
  <si>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</si>
  <si>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</si>
  <si>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</si>
  <si>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</si>
  <si>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</si>
  <si>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</si>
  <si>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</si>
  <si>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</si>
  <si>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</si>
  <si>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</si>
  <si>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</si>
  <si>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</si>
  <si>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</si>
  <si>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</si>
  <si>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</si>
  <si>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</si>
  <si>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</si>
  <si>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</si>
  <si>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</si>
  <si>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</si>
  <si>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</si>
  <si>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</si>
  <si>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</si>
  <si>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</si>
  <si>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</si>
  <si>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</si>
  <si>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</si>
  <si>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</si>
  <si>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</si>
  <si>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</si>
  <si>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</si>
  <si>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</si>
  <si>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</si>
  <si>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</si>
  <si>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</si>
  <si>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</si>
  <si>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</si>
  <si>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</si>
  <si>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</si>
  <si>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</si>
  <si>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</si>
  <si>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</si>
  <si>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</si>
  <si>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</si>
  <si>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</si>
  <si>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</si>
  <si>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</si>
  <si>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</si>
  <si>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</si>
  <si>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</si>
  <si>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</si>
  <si>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</si>
  <si>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</si>
  <si>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</si>
  <si>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</si>
  <si>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</si>
  <si>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</si>
  <si>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</si>
  <si>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</si>
  <si>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</si>
  <si>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</si>
  <si>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</si>
  <si>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</si>
  <si>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</si>
  <si>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</si>
  <si>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</si>
  <si>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</si>
  <si>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</si>
  <si>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</si>
  <si>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</si>
  <si>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</si>
  <si>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</si>
  <si>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</si>
  <si>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</si>
  <si>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</si>
  <si>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</si>
  <si>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</si>
  <si>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</si>
  <si>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</si>
  <si>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</si>
  <si>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</si>
  <si>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</si>
  <si>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</si>
  <si>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</si>
  <si>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</si>
  <si>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</si>
  <si>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</si>
  <si>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</si>
  <si>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</si>
  <si>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</si>
  <si>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</si>
  <si>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</si>
  <si>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</si>
  <si>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</si>
  <si>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</si>
  <si>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</si>
  <si>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</si>
  <si>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</si>
  <si>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</si>
  <si>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</si>
  <si>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</si>
  <si>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</si>
  <si>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</si>
  <si>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</si>
  <si>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</si>
  <si>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</si>
  <si>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</si>
  <si>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</si>
  <si>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</si>
  <si>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</si>
  <si>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</si>
  <si>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</si>
  <si>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</si>
  <si>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</si>
  <si>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</si>
  <si>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</si>
  <si>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</si>
  <si>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</si>
  <si>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</si>
  <si>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</si>
  <si>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</si>
  <si>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</si>
  <si>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</si>
  <si>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</si>
  <si>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</si>
  <si>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</si>
  <si>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</si>
  <si>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</si>
  <si>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</si>
  <si>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</si>
  <si>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</si>
  <si>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</si>
  <si>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</si>
  <si>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</si>
  <si>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</si>
  <si>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</si>
  <si>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</si>
  <si>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</si>
  <si>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</si>
  <si>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</si>
  <si>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</si>
  <si>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</si>
  <si>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</si>
  <si>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</si>
  <si>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</si>
  <si>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</si>
  <si>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</si>
  <si>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</si>
  <si>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</si>
  <si>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</si>
  <si>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</si>
  <si>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</si>
  <si>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</si>
  <si>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</si>
  <si>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</si>
  <si>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</si>
  <si>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</si>
  <si>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</si>
  <si>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</si>
  <si>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</si>
  <si>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</si>
  <si>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</si>
  <si>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</si>
  <si>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</si>
  <si>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</si>
  <si>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</si>
  <si>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</si>
  <si>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</si>
  <si>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</si>
  <si>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</si>
  <si>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</si>
  <si>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</si>
  <si>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</si>
  <si>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</si>
  <si>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</si>
  <si>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</si>
  <si>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</si>
  <si>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</si>
  <si>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</si>
  <si>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</si>
  <si>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</si>
  <si>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</si>
  <si>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</si>
  <si>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</si>
  <si>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</si>
  <si>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</si>
  <si>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</si>
  <si>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</si>
  <si>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</si>
  <si>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</si>
  <si>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</si>
  <si>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</si>
  <si>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</si>
  <si>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</si>
  <si>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</si>
  <si>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</si>
  <si>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</si>
  <si>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</si>
  <si>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</si>
  <si>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</si>
  <si>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</si>
  <si>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</si>
  <si>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</si>
  <si>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</si>
  <si>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</si>
  <si>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</si>
  <si>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</si>
  <si>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</si>
  <si>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</si>
  <si>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</si>
  <si>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</si>
  <si>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</si>
  <si>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</si>
  <si>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</si>
  <si>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</si>
  <si>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</si>
  <si>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</si>
  <si>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</si>
  <si>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</si>
  <si>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</si>
  <si>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</si>
  <si>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</si>
  <si>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</si>
  <si>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</si>
  <si>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</si>
  <si>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</si>
  <si>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</si>
  <si>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</si>
  <si>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</si>
  <si>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</si>
  <si>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</si>
  <si>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</si>
  <si>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</si>
  <si>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</si>
  <si>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</si>
  <si>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</si>
  <si>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</si>
  <si>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</si>
  <si>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</si>
  <si>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</si>
  <si>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</si>
  <si>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</si>
  <si>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</si>
  <si>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</si>
  <si>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</si>
  <si>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</si>
  <si>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</si>
  <si>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</si>
  <si>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</si>
  <si>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</si>
  <si>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</si>
  <si>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</si>
  <si>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</si>
  <si>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</si>
  <si>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</si>
  <si>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</si>
  <si>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</si>
  <si>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</si>
  <si>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</si>
  <si>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</si>
  <si>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</si>
  <si>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</si>
  <si>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</si>
  <si>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</si>
  <si>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</si>
  <si>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</si>
  <si>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</si>
  <si>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</si>
  <si>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</si>
  <si>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</si>
  <si>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</si>
  <si>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</si>
  <si>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</si>
  <si>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</si>
  <si>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</si>
  <si>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</si>
  <si>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</si>
  <si>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</si>
  <si>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</si>
  <si>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</si>
  <si>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</si>
  <si>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</si>
  <si>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</si>
  <si>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</si>
  <si>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</si>
  <si>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</si>
  <si>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</si>
  <si>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</si>
  <si>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</si>
  <si>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</si>
  <si>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</si>
  <si>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</si>
  <si>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</si>
  <si>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</si>
  <si>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</si>
  <si>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</si>
  <si>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</si>
  <si>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</si>
  <si>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</si>
  <si>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</si>
  <si>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</si>
  <si>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</si>
  <si>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</si>
  <si>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</si>
  <si>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</si>
  <si>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</si>
  <si>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</si>
  <si>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</si>
  <si>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</si>
  <si>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</si>
  <si>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</si>
  <si>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</si>
  <si>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</si>
  <si>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</si>
  <si>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</si>
  <si>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</si>
  <si>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</si>
  <si>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</si>
  <si>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</si>
  <si>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</si>
  <si>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</si>
  <si>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</si>
  <si>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</si>
  <si>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</si>
  <si>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</si>
  <si>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</si>
  <si>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</si>
  <si>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</si>
  <si>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</si>
  <si>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</si>
  <si>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</si>
  <si>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</si>
  <si>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</si>
  <si>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</si>
  <si>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</si>
  <si>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</si>
  <si>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</si>
  <si>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</si>
  <si>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</si>
  <si>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</si>
  <si>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</si>
  <si>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</si>
  <si>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</si>
  <si>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</si>
  <si>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</si>
  <si>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</si>
  <si>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</si>
  <si>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</si>
  <si>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</si>
  <si>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</si>
  <si>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</si>
  <si>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</si>
  <si>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</si>
  <si>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</si>
  <si>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</si>
  <si>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</si>
  <si>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</si>
  <si>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</si>
  <si>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</si>
  <si>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</si>
  <si>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</si>
  <si>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</si>
  <si>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</si>
  <si>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</si>
  <si>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</si>
  <si>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</si>
  <si>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</si>
  <si>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</si>
  <si>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</si>
  <si>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</si>
  <si>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</si>
  <si>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</si>
  <si>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</si>
  <si>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</si>
  <si>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</si>
  <si>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</si>
  <si>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</si>
  <si>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</si>
  <si>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</si>
  <si>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</si>
  <si>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</si>
  <si>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</si>
  <si>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</si>
  <si>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</si>
  <si>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</si>
  <si>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</si>
  <si>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</si>
  <si>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</si>
  <si>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</si>
  <si>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</si>
  <si>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</si>
  <si>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</si>
  <si>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</si>
  <si>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</si>
  <si>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</si>
  <si>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</si>
  <si>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</si>
  <si>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</si>
  <si>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</si>
  <si>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</si>
  <si>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</si>
  <si>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</si>
  <si>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</si>
  <si>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</si>
  <si>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</si>
  <si>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</si>
  <si>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</si>
  <si>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</si>
  <si>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</si>
  <si>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</si>
  <si>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</si>
  <si>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</si>
  <si>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</si>
  <si>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</si>
  <si>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</si>
  <si>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</si>
  <si>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</si>
  <si>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</si>
  <si>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</si>
  <si>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</si>
  <si>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</si>
  <si>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</si>
  <si>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</si>
  <si>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</si>
  <si>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</si>
  <si>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</si>
  <si>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</si>
  <si>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</si>
  <si>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</si>
  <si>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</si>
  <si>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</si>
  <si>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</si>
  <si>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</si>
  <si>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</si>
  <si>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</si>
  <si>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</si>
  <si>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</si>
  <si>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</si>
  <si>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</si>
  <si>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</si>
  <si>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</si>
  <si>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</si>
  <si>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</si>
  <si>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</si>
  <si>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</si>
  <si>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</si>
  <si>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</si>
  <si>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</si>
  <si>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</si>
  <si>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</si>
  <si>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</si>
  <si>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</si>
  <si>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</si>
  <si>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</si>
  <si>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</si>
  <si>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</si>
  <si>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</si>
  <si>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</si>
  <si>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</si>
  <si>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</si>
  <si>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</si>
  <si>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</si>
  <si>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</si>
  <si>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</si>
  <si>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</si>
  <si>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</si>
  <si>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</si>
  <si>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</si>
  <si>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</si>
  <si>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</si>
  <si>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</si>
  <si>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</si>
  <si>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</si>
  <si>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</si>
  <si>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</si>
  <si>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</si>
  <si>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</si>
  <si>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</si>
  <si>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</si>
  <si>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</si>
  <si>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</si>
  <si>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</si>
  <si>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</si>
  <si>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</si>
  <si>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</si>
  <si>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</si>
  <si>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</si>
  <si>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</si>
  <si>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</si>
  <si>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</si>
  <si>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</si>
  <si>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</si>
  <si>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</si>
  <si>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</si>
  <si>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</si>
  <si>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</si>
  <si>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</si>
  <si>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</si>
  <si>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</si>
  <si>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</si>
  <si>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</si>
  <si>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</si>
  <si>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</si>
  <si>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</si>
  <si>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</si>
  <si>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</si>
  <si>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</si>
  <si>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</si>
  <si>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</si>
  <si>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</si>
  <si>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</si>
  <si>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</si>
  <si>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</si>
  <si>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</si>
  <si>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</si>
  <si>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</si>
  <si>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</si>
  <si>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</si>
  <si>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</si>
  <si>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</si>
  <si>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</si>
  <si>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</si>
  <si>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</si>
  <si>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</si>
  <si>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</si>
  <si>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</si>
  <si>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</si>
  <si>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</si>
  <si>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</si>
  <si>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</si>
  <si>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</si>
  <si>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</si>
  <si>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</si>
  <si>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</si>
  <si>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</si>
  <si>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</si>
  <si>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</si>
  <si>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</si>
  <si>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</si>
  <si>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</si>
  <si>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</si>
  <si>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</si>
  <si>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</si>
  <si>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</si>
  <si>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</si>
  <si>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</si>
  <si>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</si>
  <si>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</si>
  <si>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</si>
  <si>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</si>
  <si>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</si>
  <si>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</si>
  <si>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</si>
  <si>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</si>
  <si>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</si>
  <si>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</si>
  <si>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</si>
  <si>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</si>
  <si>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</si>
  <si>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</si>
  <si>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</si>
  <si>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</si>
  <si>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</si>
  <si>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</si>
  <si>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</si>
  <si>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</si>
  <si>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</si>
  <si>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</si>
  <si>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</si>
  <si>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</si>
  <si>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</si>
  <si>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</si>
  <si>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</si>
  <si>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</si>
  <si>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</si>
  <si>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</si>
  <si>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</si>
  <si>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</si>
  <si>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</si>
  <si>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</si>
  <si>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</si>
  <si>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</si>
  <si>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</si>
  <si>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</si>
  <si>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</si>
  <si>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</si>
  <si>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</si>
  <si>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</si>
  <si>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</si>
  <si>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</si>
  <si>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</si>
  <si>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</si>
  <si>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</si>
  <si>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</si>
  <si>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</si>
  <si>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</si>
  <si>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</si>
  <si>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</si>
  <si>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</si>
  <si>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</si>
  <si>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</si>
  <si>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</si>
  <si>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</si>
  <si>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</si>
  <si>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</si>
  <si>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</si>
  <si>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</si>
  <si>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</si>
  <si>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</si>
  <si>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</si>
  <si>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</si>
  <si>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</si>
  <si>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</si>
  <si>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</si>
  <si>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</si>
  <si>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</si>
  <si>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</si>
  <si>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</si>
  <si>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</si>
  <si>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</si>
  <si>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</si>
  <si>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</si>
  <si>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</si>
  <si>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</si>
  <si>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</si>
  <si>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</si>
  <si>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</si>
  <si>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</si>
  <si>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</si>
  <si>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</si>
  <si>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</si>
  <si>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</si>
  <si>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</si>
  <si>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</si>
  <si>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</si>
  <si>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</si>
  <si>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</si>
  <si>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</si>
  <si>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</si>
  <si>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</si>
  <si>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</si>
  <si>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</si>
  <si>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</si>
  <si>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</si>
  <si>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</si>
  <si>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</si>
  <si>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</si>
  <si>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</si>
  <si>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</si>
  <si>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</si>
  <si>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</si>
  <si>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</si>
  <si>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</si>
  <si>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</si>
  <si>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</si>
  <si>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</si>
  <si>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</si>
  <si>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</si>
  <si>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</si>
  <si>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</si>
  <si>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</si>
  <si>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</si>
  <si>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</si>
  <si>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</si>
  <si>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</si>
  <si>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</si>
  <si>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</si>
  <si>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</si>
  <si>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</si>
  <si>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</si>
  <si>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</si>
  <si>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</si>
  <si>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</si>
  <si>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</si>
  <si>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</si>
  <si>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</si>
  <si>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</si>
  <si>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</si>
  <si>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</si>
  <si>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</si>
  <si>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</si>
  <si>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</si>
  <si>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</si>
  <si>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</si>
  <si>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</si>
  <si>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</si>
  <si>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</si>
  <si>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</si>
  <si>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</si>
  <si>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</si>
  <si>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</si>
  <si>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</si>
  <si>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</si>
  <si>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</si>
  <si>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</si>
  <si>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</si>
  <si>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</si>
  <si>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</si>
  <si>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</si>
  <si>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</si>
  <si>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</si>
  <si>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</si>
  <si>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</si>
  <si>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</si>
  <si>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</si>
  <si>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</si>
  <si>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</si>
  <si>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</si>
  <si>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</si>
  <si>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</si>
  <si>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</si>
  <si>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</si>
  <si>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</si>
  <si>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</si>
  <si>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</si>
  <si>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</si>
  <si>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</si>
  <si>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</si>
  <si>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</si>
  <si>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</si>
  <si>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</si>
  <si>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</si>
  <si>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</si>
  <si>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</si>
  <si>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</si>
  <si>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</si>
  <si>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</si>
  <si>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</si>
  <si>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</si>
  <si>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</si>
  <si>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</si>
  <si>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</si>
  <si>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</si>
  <si>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</si>
  <si>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</si>
  <si>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</si>
  <si>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</si>
  <si>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</si>
  <si>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</si>
  <si>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</si>
  <si>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</si>
  <si>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</si>
  <si>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</si>
  <si>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</si>
  <si>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</si>
  <si>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</si>
  <si>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</si>
  <si>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</si>
  <si>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</si>
  <si>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</si>
  <si>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</si>
  <si>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</si>
  <si>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</si>
  <si>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</si>
  <si>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</si>
  <si>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</si>
  <si>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</si>
  <si>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</si>
  <si>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</si>
  <si>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</si>
  <si>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</si>
  <si>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</si>
  <si>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</si>
  <si>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</si>
  <si>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</si>
  <si>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</si>
  <si>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</si>
  <si>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</si>
  <si>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</si>
  <si>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</si>
  <si>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</si>
  <si>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</si>
  <si>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</si>
  <si>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</si>
  <si>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</si>
  <si>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</si>
  <si>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</si>
  <si>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</si>
  <si>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</si>
  <si>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</si>
  <si>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</si>
  <si>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</si>
  <si>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</si>
  <si>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</si>
  <si>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</si>
  <si>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</si>
  <si>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</si>
  <si>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</si>
  <si>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</si>
  <si>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</si>
  <si>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</si>
  <si>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</si>
  <si>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</si>
  <si>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</si>
  <si>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</si>
  <si>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</si>
  <si>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</si>
  <si>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</si>
  <si>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</si>
  <si>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</si>
  <si>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</si>
  <si>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</si>
  <si>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</si>
  <si>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</si>
  <si>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</si>
  <si>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</si>
  <si>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</si>
  <si>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</si>
  <si>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</si>
  <si>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</si>
  <si>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</si>
  <si>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</si>
  <si>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</si>
  <si>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</si>
  <si>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</si>
  <si>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</si>
  <si>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</si>
  <si>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</si>
  <si>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</si>
  <si>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</si>
  <si>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</si>
  <si>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</si>
  <si>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</si>
  <si>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</si>
  <si>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</si>
  <si>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</si>
  <si>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</si>
  <si>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</si>
  <si>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</si>
  <si>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</si>
  <si>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</si>
  <si>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</si>
  <si>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</si>
  <si>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</si>
  <si>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</si>
  <si>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</si>
  <si>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</si>
  <si>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</si>
  <si>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</si>
  <si>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</si>
  <si>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</si>
  <si>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</si>
  <si>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</si>
  <si>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</si>
  <si>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</si>
  <si>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</si>
  <si>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</si>
  <si>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</si>
  <si>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</si>
  <si>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</si>
  <si>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</si>
  <si>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</si>
  <si>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</si>
  <si>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</si>
  <si>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</si>
  <si>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</si>
  <si>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</si>
  <si>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</si>
  <si>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</si>
  <si>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</si>
  <si>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</si>
  <si>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</si>
  <si>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</si>
  <si>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</si>
  <si>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</si>
  <si>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</si>
  <si>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</si>
  <si>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</si>
  <si>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</si>
  <si>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</si>
  <si>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</si>
  <si>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</si>
  <si>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</si>
  <si>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</si>
  <si>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</si>
  <si>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</si>
  <si>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</si>
  <si>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</si>
  <si>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</si>
  <si>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</si>
  <si>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</si>
  <si>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</si>
  <si>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</si>
  <si>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</si>
  <si>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</si>
  <si>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</si>
  <si>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</si>
  <si>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</si>
  <si>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</si>
  <si>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</si>
  <si>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</si>
  <si>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</si>
  <si>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</si>
  <si>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</si>
  <si>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</si>
  <si>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</si>
  <si>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</si>
  <si>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</si>
  <si>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</si>
  <si>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</si>
  <si>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</si>
  <si>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</si>
  <si>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</si>
  <si>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</si>
  <si>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</si>
  <si>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</si>
  <si>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</si>
  <si>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</si>
  <si>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</si>
  <si>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</si>
  <si>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</si>
  <si>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</si>
  <si>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</si>
  <si>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</si>
  <si>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</si>
  <si>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</si>
  <si>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</si>
  <si>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</si>
  <si>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</si>
  <si>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</si>
  <si>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</si>
  <si>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</si>
  <si>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</si>
  <si>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</si>
  <si>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</si>
  <si>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</si>
  <si>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</si>
  <si>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</si>
  <si>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</si>
  <si>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</si>
  <si>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</si>
  <si>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</si>
  <si>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</si>
  <si>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</si>
  <si>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</si>
  <si>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</si>
  <si>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</si>
  <si>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</si>
  <si>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</si>
  <si>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</si>
  <si>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</si>
  <si>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</si>
  <si>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</si>
  <si>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</si>
  <si>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</si>
  <si>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</si>
  <si>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</si>
  <si>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</si>
  <si>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</si>
  <si>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</si>
  <si>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</si>
  <si>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</si>
  <si>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</si>
  <si>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</si>
  <si>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</si>
  <si>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</si>
  <si>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</si>
  <si>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</si>
  <si>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</si>
  <si>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</si>
  <si>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</si>
  <si>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</si>
  <si>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</si>
  <si>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</si>
  <si>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</si>
  <si>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</si>
  <si>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</si>
  <si>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</si>
  <si>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</si>
  <si>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</si>
  <si>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</si>
  <si>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</si>
  <si>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</si>
  <si>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</si>
  <si>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</si>
  <si>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</si>
  <si>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</si>
  <si>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</si>
  <si>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</si>
  <si>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</si>
  <si>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</si>
  <si>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</si>
  <si>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</si>
  <si>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</si>
  <si>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</si>
  <si>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</si>
  <si>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</si>
  <si>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</si>
  <si>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</si>
  <si>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</si>
  <si>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</si>
  <si>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</si>
  <si>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</si>
  <si>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</si>
  <si>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</si>
  <si>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</si>
  <si>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</si>
  <si>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</si>
  <si>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</si>
  <si>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</si>
  <si>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</si>
  <si>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</si>
  <si>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</si>
  <si>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</si>
  <si>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</si>
  <si>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</si>
  <si>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</si>
  <si>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</si>
  <si>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</si>
  <si>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</si>
  <si>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</si>
  <si>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</si>
  <si>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</si>
  <si>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</si>
  <si>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</si>
  <si>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</si>
  <si>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</si>
  <si>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</si>
  <si>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</si>
  <si>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</si>
  <si>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</si>
  <si>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</si>
  <si>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</si>
  <si>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</si>
  <si>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</si>
  <si>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</si>
  <si>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</si>
  <si>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</si>
  <si>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</si>
  <si>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Trafo 3 Fasa 50 KVA 1 Tiang (G312-A)</t>
  </si>
  <si>
    <t>PEKERJAAN KELENGKAPAN KONSTRUKSI</t>
  </si>
  <si>
    <t>CM2-11M</t>
  </si>
  <si>
    <t>Stainless Steel Strap 20 X 0.7 mm</t>
  </si>
  <si>
    <t>PWI 14</t>
  </si>
  <si>
    <t>-7.0433538,110.9564695</t>
  </si>
  <si>
    <t>BADRUL ANAM</t>
  </si>
  <si>
    <t>K2-603/81/82/45</t>
  </si>
  <si>
    <t>DN KARANGJATI 3/6 DS PUTATSARI</t>
  </si>
  <si>
    <t>Daya 41.500 VA</t>
  </si>
  <si>
    <t>Wirosari, 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</si>
</sst>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  <xf numFmtId="0" fontId="173" fillId="0" borderId="0" applyNumberFormat="0" applyFill="0" applyBorder="0" applyAlignment="0" applyProtection="0"/>
  </cellStyleXfs>
  <cellXfs count="711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6" borderId="0" xfId="2672" applyNumberFormat="1" applyFont="1" applyFill="1" applyBorder="1" applyAlignment="1" applyProtection="1">
      <alignment horizontal="right" vertical="center"/>
    </xf>
    <xf numFmtId="0" fontId="172" fillId="0" borderId="69" xfId="1450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7" fillId="0" borderId="99" xfId="1450" applyFont="1" applyBorder="1" applyAlignment="1">
      <alignment horizontal="center" vertical="center"/>
    </xf>
    <xf numFmtId="0" fontId="173" fillId="33" borderId="0" xfId="2678" applyFill="1"/>
    <xf numFmtId="0" fontId="41" fillId="0" borderId="21" xfId="1451" applyFont="1" applyFill="1" applyBorder="1" applyAlignment="1">
      <alignment horizontal="left" vertical="center" wrapText="1"/>
    </xf>
    <xf numFmtId="0" fontId="112" fillId="33" borderId="0" xfId="0" applyFont="1" applyFill="1" applyAlignment="1">
      <alignment vertical="center" wrapText="1"/>
    </xf>
    <xf numFmtId="0" fontId="112" fillId="33" borderId="37" xfId="0" applyFont="1" applyFill="1" applyBorder="1" applyAlignment="1">
      <alignment vertical="center" wrapText="1"/>
    </xf>
    <xf numFmtId="0" fontId="112" fillId="33" borderId="44" xfId="0" applyFont="1" applyFill="1" applyBorder="1" applyAlignment="1">
      <alignment vertical="center" wrapText="1"/>
    </xf>
    <xf numFmtId="0" fontId="112" fillId="33" borderId="45" xfId="0" applyFont="1" applyFill="1" applyBorder="1" applyAlignment="1">
      <alignment vertical="center" wrapText="1"/>
    </xf>
    <xf numFmtId="0" fontId="112" fillId="33" borderId="18" xfId="0" applyFont="1" applyFill="1" applyBorder="1" applyAlignment="1">
      <alignment vertical="center" wrapText="1"/>
    </xf>
    <xf numFmtId="0" fontId="112" fillId="33" borderId="43" xfId="0" applyFont="1" applyFill="1" applyBorder="1" applyAlignment="1">
      <alignment vertical="center" wrapText="1"/>
    </xf>
    <xf numFmtId="0" fontId="40" fillId="0" borderId="21" xfId="1615" applyNumberFormat="1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0" fillId="0" borderId="20" xfId="1615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11" fillId="0" borderId="20" xfId="1652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 wrapText="1"/>
    </xf>
    <xf numFmtId="0" fontId="41" fillId="0" borderId="21" xfId="0" applyFont="1" applyFill="1" applyBorder="1" applyAlignment="1">
      <alignment horizontal="left" vertical="center" wrapText="1"/>
    </xf>
    <xf numFmtId="3" fontId="7" fillId="0" borderId="21" xfId="1599" applyNumberFormat="1" applyFont="1" applyFill="1" applyBorder="1" applyAlignment="1">
      <alignment horizontal="center" vertical="center"/>
    </xf>
    <xf numFmtId="41" fontId="150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4" fillId="33" borderId="0" xfId="0" quotePrefix="1" applyFont="1" applyFill="1" applyAlignment="1">
      <alignment horizontal="center"/>
    </xf>
    <xf numFmtId="0" fontId="41" fillId="0" borderId="21" xfId="1450" applyFont="1" applyFill="1" applyBorder="1" applyAlignment="1">
      <alignment vertical="center" wrapText="1"/>
    </xf>
    <xf numFmtId="0" fontId="111" fillId="0" borderId="21" xfId="1652" applyFont="1" applyFill="1" applyBorder="1" applyAlignment="1">
      <alignment vertical="center"/>
    </xf>
    <xf numFmtId="14" fontId="93" fillId="0" borderId="0" xfId="1653" applyNumberFormat="1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167" fontId="151" fillId="0" borderId="0" xfId="1614" applyNumberFormat="1" applyFont="1" applyAlignment="1">
      <alignment horizontal="left" vertical="top" wrapText="1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18" xfId="0" applyFont="1" applyFill="1" applyBorder="1" applyAlignment="1">
      <alignment horizontal="center" vertical="center" wrapText="1"/>
    </xf>
    <xf numFmtId="0" fontId="112" fillId="33" borderId="0" xfId="0" applyFont="1" applyFill="1" applyBorder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49" fontId="112" fillId="33" borderId="50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208" fontId="117" fillId="0" borderId="73" xfId="1450" applyNumberFormat="1" applyFont="1" applyBorder="1" applyAlignment="1">
      <alignment horizontal="left" vertical="center"/>
    </xf>
    <xf numFmtId="208" fontId="172" fillId="0" borderId="74" xfId="1450" applyNumberFormat="1" applyFont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13" Type="http://schemas.openxmlformats.org/officeDocument/2006/relationships/image" Target="../media/image24.emf"/><Relationship Id="rId3" Type="http://schemas.openxmlformats.org/officeDocument/2006/relationships/image" Target="../media/image14.emf"/><Relationship Id="rId7" Type="http://schemas.openxmlformats.org/officeDocument/2006/relationships/image" Target="../media/image18.emf"/><Relationship Id="rId12" Type="http://schemas.openxmlformats.org/officeDocument/2006/relationships/image" Target="../media/image23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17.emf"/><Relationship Id="rId11" Type="http://schemas.openxmlformats.org/officeDocument/2006/relationships/image" Target="../media/image22.emf"/><Relationship Id="rId5" Type="http://schemas.openxmlformats.org/officeDocument/2006/relationships/image" Target="../media/image16.emf"/><Relationship Id="rId10" Type="http://schemas.openxmlformats.org/officeDocument/2006/relationships/image" Target="../media/image21.emf"/><Relationship Id="rId4" Type="http://schemas.openxmlformats.org/officeDocument/2006/relationships/image" Target="../media/image15.emf"/><Relationship Id="rId9" Type="http://schemas.openxmlformats.org/officeDocument/2006/relationships/image" Target="../media/image20.emf"/><Relationship Id="rId14" Type="http://schemas.openxmlformats.org/officeDocument/2006/relationships/image" Target="../media/image2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4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224118</xdr:colOff>
      <xdr:row>18</xdr:row>
      <xdr:rowOff>22411</xdr:rowOff>
    </xdr:from>
    <xdr:to>
      <xdr:col>12</xdr:col>
      <xdr:colOff>224118</xdr:colOff>
      <xdr:row>27</xdr:row>
      <xdr:rowOff>11205</xdr:rowOff>
    </xdr:to>
    <xdr:cxnSp macro="">
      <xdr:nvCxnSpPr>
        <xdr:cNvPr id="449" name="Straight Connector 448"/>
        <xdr:cNvCxnSpPr/>
      </xdr:nvCxnSpPr>
      <xdr:spPr>
        <a:xfrm flipH="1">
          <a:off x="4347883" y="2958352"/>
          <a:ext cx="0" cy="140073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280146</xdr:colOff>
      <xdr:row>11</xdr:row>
      <xdr:rowOff>20620</xdr:rowOff>
    </xdr:from>
    <xdr:to>
      <xdr:col>11</xdr:col>
      <xdr:colOff>280146</xdr:colOff>
      <xdr:row>39</xdr:row>
      <xdr:rowOff>31825</xdr:rowOff>
    </xdr:to>
    <xdr:sp macro="" textlink="">
      <xdr:nvSpPr>
        <xdr:cNvPr id="104" name="Freeform 103"/>
        <xdr:cNvSpPr/>
      </xdr:nvSpPr>
      <xdr:spPr>
        <a:xfrm rot="16200000" flipH="1">
          <a:off x="1826558" y="4054738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359086</xdr:colOff>
      <xdr:row>24</xdr:row>
      <xdr:rowOff>128865</xdr:rowOff>
    </xdr:from>
    <xdr:to>
      <xdr:col>16</xdr:col>
      <xdr:colOff>100854</xdr:colOff>
      <xdr:row>28</xdr:row>
      <xdr:rowOff>56029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4863851" y="4006100"/>
          <a:ext cx="884768" cy="55469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BADRUL ANAM 41,5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100853</xdr:colOff>
      <xdr:row>18</xdr:row>
      <xdr:rowOff>84606</xdr:rowOff>
    </xdr:from>
    <xdr:to>
      <xdr:col>16</xdr:col>
      <xdr:colOff>67236</xdr:colOff>
      <xdr:row>22</xdr:row>
      <xdr:rowOff>134470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605618" y="3020547"/>
          <a:ext cx="1109383" cy="677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K2-81/82/45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100853</xdr:colOff>
      <xdr:row>24</xdr:row>
      <xdr:rowOff>145678</xdr:rowOff>
    </xdr:from>
    <xdr:to>
      <xdr:col>12</xdr:col>
      <xdr:colOff>232835</xdr:colOff>
      <xdr:row>25</xdr:row>
      <xdr:rowOff>131356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224618" y="40229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354105</xdr:colOff>
      <xdr:row>24</xdr:row>
      <xdr:rowOff>129990</xdr:rowOff>
    </xdr:from>
    <xdr:to>
      <xdr:col>12</xdr:col>
      <xdr:colOff>105087</xdr:colOff>
      <xdr:row>25</xdr:row>
      <xdr:rowOff>115668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096870" y="4007225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24650</xdr:colOff>
      <xdr:row>25</xdr:row>
      <xdr:rowOff>2241</xdr:rowOff>
    </xdr:from>
    <xdr:to>
      <xdr:col>12</xdr:col>
      <xdr:colOff>156632</xdr:colOff>
      <xdr:row>25</xdr:row>
      <xdr:rowOff>144802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148415" y="4036359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63793" y="38260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56031</xdr:colOff>
      <xdr:row>24</xdr:row>
      <xdr:rowOff>112059</xdr:rowOff>
    </xdr:from>
    <xdr:to>
      <xdr:col>13</xdr:col>
      <xdr:colOff>176347</xdr:colOff>
      <xdr:row>25</xdr:row>
      <xdr:rowOff>63890</xdr:rowOff>
    </xdr:to>
    <xdr:grpSp>
      <xdr:nvGrpSpPr>
        <xdr:cNvPr id="150" name="Group 149"/>
        <xdr:cNvGrpSpPr/>
      </xdr:nvGrpSpPr>
      <xdr:grpSpPr>
        <a:xfrm>
          <a:off x="4560796" y="3989294"/>
          <a:ext cx="120316" cy="108714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268941</xdr:colOff>
      <xdr:row>24</xdr:row>
      <xdr:rowOff>44824</xdr:rowOff>
    </xdr:from>
    <xdr:to>
      <xdr:col>13</xdr:col>
      <xdr:colOff>347382</xdr:colOff>
      <xdr:row>25</xdr:row>
      <xdr:rowOff>123265</xdr:rowOff>
    </xdr:to>
    <xdr:cxnSp macro="">
      <xdr:nvCxnSpPr>
        <xdr:cNvPr id="160" name="Straight Connector 159"/>
        <xdr:cNvCxnSpPr/>
      </xdr:nvCxnSpPr>
      <xdr:spPr>
        <a:xfrm>
          <a:off x="4392706" y="3922059"/>
          <a:ext cx="459441" cy="2353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3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Unit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SUMIFS(RAB!$F$14:$F$59,RAB!$C$14:$C$59,C714)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SUMIFS(RAB!$F$14:$F$59,RAB!$C$14:$C$59,C715)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SUMIFS(RAB!$F$14:$F$59,RAB!$C$14:$C$59,C716)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SUMIFS(RAB!$F$14:$F$59,RAB!$C$14:$C$59,C717)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SUMIFS(RAB!$F$14:$F$59,RAB!$C$14:$C$59,C718)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SUMIFS(RAB!$F$14:$F$59,RAB!$C$14:$C$59,C719)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SUMIFS(RAB!$F$14:$F$59,RAB!$C$14:$C$59,C720)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SUMIFS(RAB!$F$14:$F$59,RAB!$C$14:$C$59,C721)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SUMIFS(RAB!$F$14:$F$59,RAB!$C$14:$C$59,C722)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SUMIFS(RAB!$F$14:$F$59,RAB!$C$14:$C$59,C723)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SUMIFS(RAB!$F$14:$F$59,RAB!$C$14:$C$59,C724)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SUMIFS(RAB!$F$14:$F$59,RAB!$C$14:$C$59,C725)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SUMIFS(RAB!$F$14:$F$59,RAB!$C$14:$C$59,C726)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SUMIFS(RAB!$F$14:$F$59,RAB!$C$14:$C$59,C727)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SUMIFS(RAB!$F$14:$F$59,RAB!$C$14:$C$59,C728)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SUMIFS(RAB!$F$14:$F$59,RAB!$C$14:$C$59,C729)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SUMIFS(RAB!$F$14:$F$59,RAB!$C$14:$C$59,C730)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SUMIFS(RAB!$F$14:$F$59,RAB!$C$14:$C$59,C731)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SUMIFS(RAB!$F$14:$F$59,RAB!$C$14:$C$59,C732)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SUMIFS(RAB!$F$14:$F$59,RAB!$C$14:$C$59,C733)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SUMIFS(RAB!$F$14:$F$59,RAB!$C$14:$C$59,C734)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SUMIFS(RAB!$F$14:$F$59,RAB!$C$14:$C$59,C735)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SUMIFS(RAB!$F$14:$F$59,RAB!$C$14:$C$59,C736)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SUMIFS(RAB!$F$14:$F$59,RAB!$C$14:$C$59,C737)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SUMIFS(RAB!$F$14:$F$59,RAB!$C$14:$C$59,C738)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SUMIFS(RAB!$F$14:$F$59,RAB!$C$14:$C$59,C739)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SUMIFS(RAB!$F$14:$F$59,RAB!$C$14:$C$59,C740)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SUMIFS(RAB!$F$14:$F$59,RAB!$C$14:$C$59,C741)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SUMIFS(RAB!$F$14:$F$59,RAB!$C$14:$C$59,C742)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SUMIFS(RAB!$F$14:$F$59,RAB!$C$14:$C$59,C743)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SUMIFS(RAB!$F$14:$F$59,RAB!$C$14:$C$59,C744)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SUMIFS(RAB!$F$14:$F$59,RAB!$C$14:$C$59,C745)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SUMIFS(RAB!$F$14:$F$59,RAB!$C$14:$C$59,C746)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SUMIFS(RAB!$F$14:$F$59,RAB!$C$14:$C$59,C747)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SUMIFS(RAB!$F$14:$F$59,RAB!$C$14:$C$59,C748)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SUMIFS(RAB!$F$14:$F$59,RAB!$C$14:$C$59,C749)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SUMIFS(RAB!$F$14:$F$59,RAB!$C$14:$C$59,C750)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SUMIFS(RAB!$F$14:$F$59,RAB!$C$14:$C$59,C751)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SUMIFS(RAB!$F$14:$F$59,RAB!$C$14:$C$59,C752)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SUMIFS(RAB!$F$14:$F$59,RAB!$C$14:$C$59,C753)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SUMIFS(RAB!$F$14:$F$59,RAB!$C$14:$C$59,C754)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SUMIFS(RAB!$F$14:$F$59,RAB!$C$14:$C$59,C755)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SUMIFS(RAB!$F$14:$F$59,RAB!$C$14:$C$59,C756)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SUMIFS(RAB!$F$14:$F$59,RAB!$C$14:$C$59,C757)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SUMIFS(RAB!$F$14:$F$59,RAB!$C$14:$C$59,C758)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SUMIFS(RAB!$F$14:$F$59,RAB!$C$14:$C$59,C759)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SUMIFS(RAB!$F$14:$F$59,RAB!$C$14:$C$59,C760)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SUMIFS(RAB!$F$14:$F$59,RAB!$C$14:$C$59,C761)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SUMIFS(RAB!$F$14:$F$59,RAB!$C$14:$C$59,C762)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SUMIFS(RAB!$F$14:$F$59,RAB!$C$14:$C$59,C763)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SUMIFS(RAB!$F$14:$F$59,RAB!$C$14:$C$59,C764)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SUMIFS(RAB!$F$14:$F$59,RAB!$C$14:$C$59,C765)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SUMIFS(RAB!$F$14:$F$59,RAB!$C$14:$C$59,C766)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SUMIFS(RAB!$F$14:$F$59,RAB!$C$14:$C$59,C767)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SUMIFS(RAB!$F$14:$F$59,RAB!$C$14:$C$59,C768)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SUMIFS(RAB!$F$14:$F$59,RAB!$C$14:$C$59,C769)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SUMIFS(RAB!$F$14:$F$59,RAB!$C$14:$C$59,C770)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SUMIFS(RAB!$F$14:$F$59,RAB!$C$14:$C$59,C771)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SUMIFS(RAB!$F$14:$F$59,RAB!$C$14:$C$59,C772)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SUMIFS(RAB!$F$14:$F$59,RAB!$C$14:$C$59,C773)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SUMIFS(RAB!$F$14:$F$59,RAB!$C$14:$C$59,C774)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SUMIFS(RAB!$F$14:$F$59,RAB!$C$14:$C$59,C775)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SUMIFS(RAB!$F$14:$F$59,RAB!$C$14:$C$59,C776)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SUMIFS(RAB!$F$14:$F$59,RAB!$C$14:$C$59,C777)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SUMIFS(RAB!$F$14:$F$59,RAB!$C$14:$C$59,C778)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SUMIFS(RAB!$F$14:$F$59,RAB!$C$14:$C$59,C779)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SUMIFS(RAB!$F$14:$F$59,RAB!$C$14:$C$59,C780)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SUMIFS(RAB!$F$14:$F$59,RAB!$C$14:$C$59,C781)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SUMIFS(RAB!$F$14:$F$59,RAB!$C$14:$C$59,C782)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SUMIFS(RAB!$F$14:$F$59,RAB!$C$14:$C$59,C783)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SUMIFS(RAB!$F$14:$F$59,RAB!$C$14:$C$59,C784)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SUMIFS(RAB!$F$14:$F$59,RAB!$C$14:$C$59,C785)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SUMIFS(RAB!$F$14:$F$59,RAB!$C$14:$C$59,C786)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SUMIFS(RAB!$F$14:$F$59,RAB!$C$14:$C$59,C787)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SUMIFS(RAB!$F$14:$F$59,RAB!$C$14:$C$59,C788)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SUMIFS(RAB!$F$14:$F$59,RAB!$C$14:$C$59,C789)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SUMIFS(RAB!$F$14:$F$59,RAB!$C$14:$C$59,C790)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SUMIFS(RAB!$F$14:$F$59,RAB!$C$14:$C$59,C791)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SUMIFS(RAB!$F$14:$F$59,RAB!$C$14:$C$59,C792)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SUMIFS(RAB!$F$14:$F$59,RAB!$C$14:$C$59,C793)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SUMIFS(RAB!$F$14:$F$59,RAB!$C$14:$C$59,C794)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SUMIFS(RAB!$F$14:$F$59,RAB!$C$14:$C$59,C795)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SUMIFS(RAB!$F$14:$F$59,RAB!$C$14:$C$59,C796)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SUMIFS(RAB!$F$14:$F$59,RAB!$C$14:$C$59,C797)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SUMIFS(RAB!$F$14:$F$59,RAB!$C$14:$C$59,C798)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SUMIFS(RAB!$F$14:$F$59,RAB!$C$14:$C$59,C799)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SUMIFS(RAB!$F$14:$F$59,RAB!$C$14:$C$59,C800)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SUMIFS(RAB!$F$14:$F$59,RAB!$C$14:$C$59,C801)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SUMIFS(RAB!$F$14:$F$59,RAB!$C$14:$C$59,C802)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SUMIFS(RAB!$F$14:$F$59,RAB!$C$14:$C$59,C803)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SUMIFS(RAB!$F$14:$F$59,RAB!$C$14:$C$59,C804)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SUMIFS(RAB!$F$14:$F$59,RAB!$C$14:$C$59,C805)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SUMIFS(RAB!$F$14:$F$59,RAB!$C$14:$C$59,C806)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SUMIFS(RAB!$F$14:$F$59,RAB!$C$14:$C$59,C807)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SUMIFS(RAB!$F$14:$F$59,RAB!$C$14:$C$59,C808)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SUMIFS(RAB!$F$14:$F$59,RAB!$C$14:$C$59,C809)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SUMIFS(RAB!$F$14:$F$59,RAB!$C$14:$C$59,C810)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SUMIFS(RAB!$F$14:$F$59,RAB!$C$14:$C$59,C811)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SUMIFS(RAB!$F$14:$F$59,RAB!$C$14:$C$59,C812)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SUMIFS(RAB!$F$14:$F$59,RAB!$C$14:$C$59,C813)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SUMIFS(RAB!$F$14:$F$59,RAB!$C$14:$C$59,C814)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SUMIFS(RAB!$F$14:$F$59,RAB!$C$14:$C$59,C815)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SUMIFS(RAB!$F$14:$F$59,RAB!$C$14:$C$59,C816)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SUMIFS(RAB!$F$14:$F$59,RAB!$C$14:$C$59,C817)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SUMIFS(RAB!$F$14:$F$59,RAB!$C$14:$C$59,C818)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SUMIFS(RAB!$F$14:$F$59,RAB!$C$14:$C$59,C819)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SUMIFS(RAB!$F$14:$F$59,RAB!$C$14:$C$59,C820)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SUMIFS(RAB!$F$14:$F$59,RAB!$C$14:$C$59,C821)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SUMIFS(RAB!$F$14:$F$59,RAB!$C$14:$C$59,C822)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SUMIFS(RAB!$F$14:$F$59,RAB!$C$14:$C$59,C823)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SUMIFS(RAB!$F$14:$F$59,RAB!$C$14:$C$59,C824)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SUMIFS(RAB!$F$14:$F$59,RAB!$C$14:$C$59,C825)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SUMIFS(RAB!$F$14:$F$59,RAB!$C$14:$C$59,C826)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SUMIFS(RAB!$F$14:$F$59,RAB!$C$14:$C$59,C827)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SUMIFS(RAB!$F$14:$F$59,RAB!$C$14:$C$59,C828)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SUMIFS(RAB!$F$14:$F$59,RAB!$C$14:$C$59,C829)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SUMIFS(RAB!$F$14:$F$59,RAB!$C$14:$C$59,C830)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SUMIFS(RAB!$F$14:$F$59,RAB!$C$14:$C$59,C831)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SUMIFS(RAB!$F$14:$F$59,RAB!$C$14:$C$59,C832)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SUMIFS(RAB!$F$14:$F$59,RAB!$C$14:$C$59,C833)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SUMIFS(RAB!$F$14:$F$59,RAB!$C$14:$C$59,C834)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SUMIFS(RAB!$F$14:$F$59,RAB!$C$14:$C$59,C835)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SUMIFS(RAB!$F$14:$F$59,RAB!$C$14:$C$59,C836)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SUMIFS(RAB!$F$14:$F$59,RAB!$C$14:$C$59,C837)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SUMIFS(RAB!$F$14:$F$59,RAB!$C$14:$C$59,C838)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SUMIFS(RAB!$F$14:$F$59,RAB!$C$14:$C$59,C839)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SUMIFS(RAB!$F$14:$F$59,RAB!$C$14:$C$59,C840)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SUMIFS(RAB!$F$14:$F$59,RAB!$C$14:$C$59,C841)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SUMIFS(RAB!$F$14:$F$59,RAB!$C$14:$C$59,C842)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SUMIFS(RAB!$F$14:$F$59,RAB!$C$14:$C$59,C843)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SUMIFS(RAB!$F$14:$F$59,RAB!$C$14:$C$59,C844)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SUMIFS(RAB!$F$14:$F$59,RAB!$C$14:$C$59,C845)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SUMIFS(RAB!$F$14:$F$59,RAB!$C$14:$C$59,C846)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SUMIFS(RAB!$F$14:$F$59,RAB!$C$14:$C$59,C847)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SUMIFS(RAB!$F$14:$F$59,RAB!$C$14:$C$59,C848)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SUMIFS(RAB!$F$14:$F$59,RAB!$C$14:$C$59,C849)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SUMIFS(RAB!$F$14:$F$59,RAB!$C$14:$C$59,C850)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SUMIFS(RAB!$F$14:$F$59,RAB!$C$14:$C$59,C851)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SUMIFS(RAB!$F$14:$F$59,RAB!$C$14:$C$59,C852)</f>
        <v>1</v>
      </c>
      <c r="E852" s="26">
        <f t="shared" ca="1" si="35"/>
        <v>1</v>
      </c>
      <c r="F852" s="26">
        <f ca="1">IF(D852=0,0,SUM($E$713:E852))</f>
        <v>7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SUMIFS(RAB!$F$14:$F$59,RAB!$C$14:$C$59,C853)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SUMIFS(RAB!$F$14:$F$59,RAB!$C$14:$C$59,C854)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SUMIFS(RAB!$F$14:$F$59,RAB!$C$14:$C$59,C855)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SUMIFS(RAB!$F$14:$F$59,RAB!$C$14:$C$59,C856)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SUMIFS(RAB!$F$14:$F$59,RAB!$C$14:$C$59,C857)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SUMIFS(RAB!$F$14:$F$59,RAB!$C$14:$C$59,C858)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SUMIFS(RAB!$F$14:$F$59,RAB!$C$14:$C$59,C859)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SUMIFS(RAB!$F$14:$F$59,RAB!$C$14:$C$59,C860)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SUMIFS(RAB!$F$14:$F$59,RAB!$C$14:$C$59,C861)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SUMIFS(RAB!$F$14:$F$59,RAB!$C$14:$C$59,C862)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SUMIFS(RAB!$F$14:$F$59,RAB!$C$14:$C$59,C863)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SUMIFS(RAB!$F$14:$F$59,RAB!$C$14:$C$59,C864)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SUMIFS(RAB!$F$14:$F$59,RAB!$C$14:$C$59,C865)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SUMIFS(RAB!$F$14:$F$59,RAB!$C$14:$C$59,C866)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SUMIFS(RAB!$F$14:$F$59,RAB!$C$14:$C$59,C867)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SUMIFS(RAB!$F$14:$F$59,RAB!$C$14:$C$59,C868)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SUMIFS(RAB!$F$14:$F$59,RAB!$C$14:$C$59,C869)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SUMIFS(RAB!$F$14:$F$59,RAB!$C$14:$C$59,C870)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SUMIFS(RAB!$F$14:$F$59,RAB!$C$14:$C$59,C871)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SUMIFS(RAB!$F$14:$F$59,RAB!$C$14:$C$59,C872)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SUMIFS(RAB!$F$14:$F$59,RAB!$C$14:$C$59,C873)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SUMIFS(RAB!$F$14:$F$59,RAB!$C$14:$C$59,C874)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SUMIFS(RAB!$F$14:$F$59,RAB!$C$14:$C$59,C875)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SUMIFS(RAB!$F$14:$F$59,RAB!$C$14:$C$59,C876)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SUMIFS(RAB!$F$14:$F$59,RAB!$C$14:$C$59,C877)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SUMIFS(RAB!$F$14:$F$59,RAB!$C$14:$C$59,C878)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SUMIFS(RAB!$F$14:$F$59,RAB!$C$14:$C$59,C879)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SUMIFS(RAB!$F$14:$F$59,RAB!$C$14:$C$59,C880)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SUMIFS(RAB!$F$14:$F$59,RAB!$C$14:$C$59,C881)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SUMIFS(RAB!$F$14:$F$59,RAB!$C$14:$C$59,C882)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SUMIFS(RAB!$F$14:$F$59,RAB!$C$14:$C$59,C883)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SUMIFS(RAB!$F$14:$F$59,RAB!$C$14:$C$59,C884)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SUMIFS(RAB!$F$14:$F$59,RAB!$C$14:$C$59,C885)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SUMIFS(RAB!$F$14:$F$59,RAB!$C$14:$C$59,C886)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SUMIFS(RAB!$F$14:$F$59,RAB!$C$14:$C$59,C887)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SUMIFS(RAB!$F$14:$F$59,RAB!$C$14:$C$59,C888)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SUMIFS(RAB!$F$14:$F$59,RAB!$C$14:$C$59,C889)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SUMIFS(RAB!$F$14:$F$59,RAB!$C$14:$C$59,C890)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SUMIFS(RAB!$F$14:$F$59,RAB!$C$14:$C$59,C891)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SUMIFS(RAB!$F$14:$F$59,RAB!$C$14:$C$59,C892)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SUMIFS(RAB!$F$14:$F$59,RAB!$C$14:$C$59,C893)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SUMIFS(RAB!$F$14:$F$59,RAB!$C$14:$C$59,C894)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SUMIFS(RAB!$F$14:$F$59,RAB!$C$14:$C$59,C895)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SUMIFS(RAB!$F$14:$F$59,RAB!$C$14:$C$59,C896)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SUMIFS(RAB!$F$14:$F$59,RAB!$C$14:$C$59,C897)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SUMIFS(RAB!$F$14:$F$59,RAB!$C$14:$C$59,C898)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SUMIFS(RAB!$F$14:$F$59,RAB!$C$14:$C$59,C899)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SUMIFS(RAB!$F$14:$F$59,RAB!$C$14:$C$59,C900)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SUMIFS(RAB!$F$14:$F$59,RAB!$C$14:$C$59,C901)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SUMIFS(RAB!$F$14:$F$59,RAB!$C$14:$C$59,C902)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SUMIFS(RAB!$F$14:$F$59,RAB!$C$14:$C$59,C903)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SUMIFS(RAB!$F$14:$F$59,RAB!$C$14:$C$59,C904)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SUMIFS(RAB!$F$14:$F$59,RAB!$C$14:$C$59,C905)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SUMIFS(RAB!$F$14:$F$59,RAB!$C$14:$C$59,C906)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SUMIFS(RAB!$F$14:$F$59,RAB!$C$14:$C$59,C907)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SUMIFS(RAB!$F$14:$F$59,RAB!$C$14:$C$59,C908)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SUMIFS(RAB!$F$14:$F$59,RAB!$C$14:$C$59,C909)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SUMIFS(RAB!$F$14:$F$59,RAB!$C$14:$C$59,C910)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SUMIFS(RAB!$F$14:$F$59,RAB!$C$14:$C$59,C911)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SUMIFS(RAB!$F$14:$F$59,RAB!$C$14:$C$59,C912)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SUMIFS(RAB!$F$14:$F$59,RAB!$C$14:$C$59,C913)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SUMIFS(RAB!$F$14:$F$59,RAB!$C$14:$C$59,C914)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SUMIFS(RAB!$F$14:$F$59,RAB!$C$14:$C$59,C915)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SUMIFS(RAB!$F$14:$F$59,RAB!$C$14:$C$59,C916)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SUMIFS(RAB!$F$14:$F$59,RAB!$C$14:$C$59,C917)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SUMIFS(RAB!$F$14:$F$59,RAB!$C$14:$C$59,C918)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SUMIFS(RAB!$F$14:$F$59,RAB!$C$14:$C$59,C919)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SUMIFS(RAB!$F$14:$F$59,RAB!$C$14:$C$59,C920)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SUMIFS(RAB!$F$14:$F$59,RAB!$C$14:$C$59,C921)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SUMIFS(RAB!$F$14:$F$59,RAB!$C$14:$C$59,C922)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SUMIFS(RAB!$F$14:$F$59,RAB!$C$14:$C$59,C923)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SUMIFS(RAB!$F$14:$F$59,RAB!$C$14:$C$59,C924)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SUMIFS(RAB!$F$14:$F$59,RAB!$C$14:$C$59,C925)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SUMIFS(RAB!$F$14:$F$59,RAB!$C$14:$C$59,C926)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SUMIFS(RAB!$F$14:$F$59,RAB!$C$14:$C$59,C927)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SUMIFS(RAB!$F$14:$F$59,RAB!$C$14:$C$59,C928)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SUMIFS(RAB!$F$14:$F$59,RAB!$C$14:$C$59,C929)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SUMIFS(RAB!$F$14:$F$59,RAB!$C$14:$C$59,C930)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SUMIFS(RAB!$F$14:$F$59,RAB!$C$14:$C$59,C931)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SUMIFS(RAB!$F$14:$F$59,RAB!$C$14:$C$59,C932)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SUMIFS(RAB!$F$14:$F$59,RAB!$C$14:$C$59,C933)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SUMIFS(RAB!$F$14:$F$59,RAB!$C$14:$C$59,C934)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SUMIFS(RAB!$F$14:$F$59,RAB!$C$14:$C$59,C935)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SUMIFS(RAB!$F$14:$F$59,RAB!$C$14:$C$59,C936)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SUMIFS(RAB!$F$14:$F$59,RAB!$C$14:$C$59,C937)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SUMIFS(RAB!$F$14:$F$59,RAB!$C$14:$C$59,C938)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SUMIFS(RAB!$F$14:$F$59,RAB!$C$14:$C$59,C939)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SUMIFS(RAB!$F$14:$F$59,RAB!$C$14:$C$59,C940)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SUMIFS(RAB!$F$14:$F$59,RAB!$C$14:$C$59,C941)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SUMIFS(RAB!$F$14:$F$59,RAB!$C$14:$C$59,C942)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SUMIFS(RAB!$F$14:$F$59,RAB!$C$14:$C$59,C943)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SUMIFS(RAB!$F$14:$F$59,RAB!$C$14:$C$59,C944)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SUMIFS(RAB!$F$14:$F$59,RAB!$C$14:$C$59,C945)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SUMIFS(RAB!$F$14:$F$59,RAB!$C$14:$C$59,C946)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SUMIFS(RAB!$F$14:$F$59,RAB!$C$14:$C$59,C947)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SUMIFS(RAB!$F$14:$F$59,RAB!$C$14:$C$59,C948)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SUMIFS(RAB!$F$14:$F$59,RAB!$C$14:$C$59,C949)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SUMIFS(RAB!$F$14:$F$59,RAB!$C$14:$C$59,C950)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SUMIFS(RAB!$F$14:$F$59,RAB!$C$14:$C$59,C951)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SUMIFS(RAB!$F$14:$F$59,RAB!$C$14:$C$59,C952)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SUMIFS(RAB!$F$14:$F$59,RAB!$C$14:$C$59,C953)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SUMIFS(RAB!$F$14:$F$59,RAB!$C$14:$C$59,C954)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SUMIFS(RAB!$F$14:$F$59,RAB!$C$14:$C$59,C955)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SUMIFS(RAB!$F$14:$F$59,RAB!$C$14:$C$59,C956)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SUMIFS(RAB!$F$14:$F$59,RAB!$C$14:$C$59,C957)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SUMIFS(RAB!$F$14:$F$59,RAB!$C$14:$C$59,C958)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SUMIFS(RAB!$F$14:$F$59,RAB!$C$14:$C$59,C959)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SUMIFS(RAB!$F$14:$F$59,RAB!$C$14:$C$59,C960)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SUMIFS(RAB!$F$14:$F$59,RAB!$C$14:$C$59,C961)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SUMIFS(RAB!$F$14:$F$59,RAB!$C$14:$C$59,C962)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SUMIFS(RAB!$F$14:$F$59,RAB!$C$14:$C$59,C963)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SUMIFS(RAB!$F$14:$F$59,RAB!$C$14:$C$59,C964)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SUMIFS(RAB!$F$14:$F$59,RAB!$C$14:$C$59,C965)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SUMIFS(RAB!$F$14:$F$59,RAB!$C$14:$C$59,C966)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SUMIFS(RAB!$F$14:$F$59,RAB!$C$14:$C$59,C967)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SUMIFS(RAB!$F$14:$F$59,RAB!$C$14:$C$59,C968)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SUMIFS(RAB!$F$14:$F$59,RAB!$C$14:$C$59,C969)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SUMIFS(RAB!$F$14:$F$59,RAB!$C$14:$C$59,C970)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SUMIFS(RAB!$F$14:$F$59,RAB!$C$14:$C$59,C971)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SUMIFS(RAB!$F$14:$F$59,RAB!$C$14:$C$59,C972)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SUMIFS(RAB!$F$14:$F$59,RAB!$C$14:$C$59,C973)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SUMIFS(RAB!$F$14:$F$59,RAB!$C$14:$C$59,C974)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SUMIFS(RAB!$F$14:$F$59,RAB!$C$14:$C$59,C975)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SUMIFS(RAB!$F$14:$F$59,RAB!$C$14:$C$59,C976)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SUMIFS(RAB!$F$14:$F$59,RAB!$C$14:$C$59,C977)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SUMIFS(RAB!$F$14:$F$59,RAB!$C$14:$C$59,C978)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SUMIFS(RAB!$F$14:$F$59,RAB!$C$14:$C$59,C979)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SUMIFS(RAB!$F$14:$F$59,RAB!$C$14:$C$59,C980)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SUMIFS(RAB!$F$14:$F$59,RAB!$C$14:$C$59,C981)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SUMIFS(RAB!$F$14:$F$59,RAB!$C$14:$C$59,C982)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SUMIFS(RAB!$F$14:$F$59,RAB!$C$14:$C$59,C983)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SUMIFS(RAB!$F$14:$F$59,RAB!$C$14:$C$59,C984)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SUMIFS(RAB!$F$14:$F$59,RAB!$C$14:$C$59,C985)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SUMIFS(RAB!$F$14:$F$59,RAB!$C$14:$C$59,C986)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SUMIFS(RAB!$F$14:$F$59,RAB!$C$14:$C$59,C987)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SUMIFS(RAB!$F$14:$F$59,RAB!$C$14:$C$59,C988)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SUMIFS(RAB!$F$14:$F$59,RAB!$C$14:$C$59,C989)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SUMIFS(RAB!$F$14:$F$59,RAB!$C$14:$C$59,C990)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SUMIFS(RAB!$F$14:$F$59,RAB!$C$14:$C$59,C991)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SUMIFS(RAB!$F$14:$F$59,RAB!$C$14:$C$59,C992)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SUMIFS(RAB!$F$14:$F$59,RAB!$C$14:$C$59,C993)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SUMIFS(RAB!$F$14:$F$59,RAB!$C$14:$C$59,C994)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SUMIFS(RAB!$F$14:$F$59,RAB!$C$14:$C$59,C995)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SUMIFS(RAB!$F$14:$F$59,RAB!$C$14:$C$59,C996)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SUMIFS(RAB!$F$14:$F$59,RAB!$C$14:$C$59,C997)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SUMIFS(RAB!$F$14:$F$59,RAB!$C$14:$C$59,C998)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SUMIFS(RAB!$F$14:$F$59,RAB!$C$14:$C$59,C999)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SUMIFS(RAB!$F$14:$F$59,RAB!$C$14:$C$59,C1000)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SUMIFS(RAB!$F$14:$F$59,RAB!$C$14:$C$59,C1001)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SUMIFS(RAB!$F$14:$F$59,RAB!$C$14:$C$59,C1002)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SUMIFS(RAB!$F$14:$F$59,RAB!$C$14:$C$59,C1003)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SUMIFS(RAB!$F$14:$F$59,RAB!$C$14:$C$59,C1004)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SUMIFS(RAB!$F$14:$F$59,RAB!$C$14:$C$59,C1005)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SUMIFS(RAB!$F$14:$F$59,RAB!$C$14:$C$59,C1006)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SUMIFS(RAB!$F$14:$F$59,RAB!$C$14:$C$59,C1007)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SUMIFS(RAB!$F$14:$F$59,RAB!$C$14:$C$59,C1008)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SUMIFS(RAB!$F$14:$F$59,RAB!$C$14:$C$59,C1009)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SUMIFS(RAB!$F$14:$F$59,RAB!$C$14:$C$59,C1010)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SUMIFS(RAB!$F$14:$F$59,RAB!$C$14:$C$59,C1011)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SUMIFS(RAB!$F$14:$F$59,RAB!$C$14:$C$59,C1012)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SUMIFS(RAB!$F$14:$F$59,RAB!$C$14:$C$59,C1013)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SUMIFS(RAB!$F$14:$F$59,RAB!$C$14:$C$59,C1014)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SUMIFS(RAB!$F$14:$F$59,RAB!$C$14:$C$59,C1015)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SUMIFS(RAB!$F$14:$F$59,RAB!$C$14:$C$59,C1016)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SUMIFS(RAB!$F$14:$F$59,RAB!$C$14:$C$59,C1017)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SUMIFS(RAB!$F$14:$F$59,RAB!$C$14:$C$59,C1018)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SUMIFS(RAB!$F$14:$F$59,RAB!$C$14:$C$59,C1019)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SUMIFS(RAB!$F$14:$F$59,RAB!$C$14:$C$59,C1020)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SUMIFS(RAB!$F$14:$F$59,RAB!$C$14:$C$59,C1021)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SUMIFS(RAB!$F$14:$F$59,RAB!$C$14:$C$59,C1022)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SUMIFS(RAB!$F$14:$F$59,RAB!$C$14:$C$59,C1023)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SUMIFS(RAB!$F$14:$F$59,RAB!$C$14:$C$59,C1024)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SUMIFS(RAB!$F$14:$F$59,RAB!$C$14:$C$59,C1025)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SUMIFS(RAB!$F$14:$F$59,RAB!$C$14:$C$59,C1026)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SUMIFS(RAB!$F$14:$F$59,RAB!$C$14:$C$59,C1027)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SUMIFS(RAB!$F$14:$F$59,RAB!$C$14:$C$59,C1028)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SUMIFS(RAB!$F$14:$F$59,RAB!$C$14:$C$59,C1029)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SUMIFS(RAB!$F$14:$F$59,RAB!$C$14:$C$59,C1030)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SUMIFS(RAB!$F$14:$F$59,RAB!$C$14:$C$59,C1031)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SUMIFS(RAB!$F$14:$F$59,RAB!$C$14:$C$59,C1032)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SUMIFS(RAB!$F$14:$F$59,RAB!$C$14:$C$59,C1033)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SUMIFS(RAB!$F$14:$F$59,RAB!$C$14:$C$59,C1034)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SUMIFS(RAB!$F$14:$F$59,RAB!$C$14:$C$59,C1035)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SUMIFS(RAB!$F$14:$F$59,RAB!$C$14:$C$59,C1036)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SUMIFS(RAB!$F$14:$F$59,RAB!$C$14:$C$59,C1037)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SUMIFS(RAB!$F$14:$F$59,RAB!$C$14:$C$59,C1038)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SUMIFS(RAB!$F$14:$F$59,RAB!$C$14:$C$59,C1039)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SUMIFS(RAB!$F$14:$F$59,RAB!$C$14:$C$59,C1040)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SUMIFS(RAB!$F$14:$F$59,RAB!$C$14:$C$59,C1041)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SUMIFS(RAB!$F$14:$F$59,RAB!$C$14:$C$59,C1042)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SUMIFS(RAB!$F$14:$F$59,RAB!$C$14:$C$59,C1043)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SUMIFS(RAB!$F$14:$F$59,RAB!$C$14:$C$59,C1044)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SUMIFS(RAB!$F$14:$F$59,RAB!$C$14:$C$59,C1045)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SUMIFS(RAB!$F$14:$F$59,RAB!$C$14:$C$59,C1046)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SUMIFS(RAB!$F$14:$F$59,RAB!$C$14:$C$59,C1047)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SUMIFS(RAB!$F$14:$F$59,RAB!$C$14:$C$59,C1048)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SUMIFS(RAB!$F$14:$F$59,RAB!$C$14:$C$59,C1049)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SUMIFS(RAB!$F$14:$F$59,RAB!$C$14:$C$59,C1050)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SUMIFS(RAB!$F$14:$F$59,RAB!$C$14:$C$59,C1051)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SUMIFS(RAB!$F$14:$F$59,RAB!$C$14:$C$59,C1052)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SUMIFS(RAB!$F$14:$F$59,RAB!$C$14:$C$59,C1053)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SUMIFS(RAB!$F$14:$F$59,RAB!$C$14:$C$59,C1054)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SUMIFS(RAB!$F$14:$F$59,RAB!$C$14:$C$59,C1055)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SUMIFS(RAB!$F$14:$F$59,RAB!$C$14:$C$59,C1056)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SUMIFS(RAB!$F$14:$F$59,RAB!$C$14:$C$59,C1057)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SUMIFS(RAB!$F$14:$F$59,RAB!$C$14:$C$59,C1058)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SUMIFS(RAB!$F$14:$F$59,RAB!$C$14:$C$59,C1059)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SUMIFS(RAB!$F$14:$F$59,RAB!$C$14:$C$59,C1060)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SUMIFS(RAB!$F$14:$F$59,RAB!$C$14:$C$59,C1061)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SUMIFS(RAB!$F$14:$F$59,RAB!$C$14:$C$59,C1062)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SUMIFS(RAB!$F$14:$F$59,RAB!$C$14:$C$59,C1063)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SUMIFS(RAB!$F$14:$F$59,RAB!$C$14:$C$59,C1064)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SUMIFS(RAB!$F$14:$F$59,RAB!$C$14:$C$59,C1065)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SUMIFS(RAB!$F$14:$F$59,RAB!$C$14:$C$59,C1066)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SUMIFS(RAB!$F$14:$F$59,RAB!$C$14:$C$59,C1067)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SUMIFS(RAB!$F$14:$F$59,RAB!$C$14:$C$59,C1068)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SUMIFS(RAB!$F$14:$F$59,RAB!$C$14:$C$59,C1069)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SUMIFS(RAB!$F$14:$F$59,RAB!$C$14:$C$59,C1070)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SUMIFS(RAB!$F$14:$F$59,RAB!$C$14:$C$59,C1071)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SUMIFS(RAB!$F$14:$F$59,RAB!$C$14:$C$59,C1072)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SUMIFS(RAB!$F$14:$F$59,RAB!$C$14:$C$59,C1073)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SUMIFS(RAB!$F$14:$F$59,RAB!$C$14:$C$59,C1074)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SUMIFS(RAB!$F$14:$F$59,RAB!$C$14:$C$59,C1075)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SUMIFS(RAB!$F$14:$F$59,RAB!$C$14:$C$59,C1076)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SUMIFS(RAB!$F$14:$F$59,RAB!$C$14:$C$59,C1077)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SUMIFS(RAB!$F$14:$F$59,RAB!$C$14:$C$59,C1078)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SUMIFS(RAB!$F$14:$F$59,RAB!$C$14:$C$59,C1079)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SUMIFS(RAB!$F$14:$F$59,RAB!$C$14:$C$59,C1080)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SUMIFS(RAB!$F$14:$F$59,RAB!$C$14:$C$59,C1081)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SUMIFS(RAB!$F$14:$F$59,RAB!$C$14:$C$59,C1082)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SUMIFS(RAB!$F$14:$F$59,RAB!$C$14:$C$59,C1083)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SUMIFS(RAB!$F$14:$F$59,RAB!$C$14:$C$59,C1084)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SUMIFS(RAB!$F$14:$F$59,RAB!$C$14:$C$59,C1085)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SUMIFS(RAB!$F$14:$F$59,RAB!$C$14:$C$59,C1086)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SUMIFS(RAB!$F$14:$F$59,RAB!$C$14:$C$59,C1087)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SUMIFS(RAB!$F$14:$F$59,RAB!$C$14:$C$59,C1088)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SUMIFS(RAB!$F$14:$F$59,RAB!$C$14:$C$59,C1089)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SUMIFS(RAB!$F$14:$F$59,RAB!$C$14:$C$59,C1090)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SUMIFS(RAB!$F$14:$F$59,RAB!$C$14:$C$59,C1091)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SUMIFS(RAB!$F$14:$F$59,RAB!$C$14:$C$59,C1092)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SUMIFS(RAB!$F$14:$F$59,RAB!$C$14:$C$59,C1093)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SUMIFS(RAB!$F$14:$F$59,RAB!$C$14:$C$59,C1094)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SUMIFS(RAB!$F$14:$F$59,RAB!$C$14:$C$59,C1095)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SUMIFS(RAB!$F$14:$F$59,RAB!$C$14:$C$59,C1096)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SUMIFS(RAB!$F$14:$F$59,RAB!$C$14:$C$59,C1097)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SUMIFS(RAB!$F$14:$F$59,RAB!$C$14:$C$59,C1098)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SUMIFS(RAB!$F$14:$F$59,RAB!$C$14:$C$59,C1099)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SUMIFS(RAB!$F$14:$F$59,RAB!$C$14:$C$59,C1100)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SUMIFS(RAB!$F$14:$F$59,RAB!$C$14:$C$59,C1101)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SUMIFS(RAB!$F$14:$F$59,RAB!$C$14:$C$59,C1102)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SUMIFS(RAB!$F$14:$F$59,RAB!$C$14:$C$59,C1103)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SUMIFS(RAB!$F$14:$F$59,RAB!$C$14:$C$59,C1104)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SUMIFS(RAB!$F$14:$F$59,RAB!$C$14:$C$59,C1105)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SUMIFS(RAB!$F$14:$F$59,RAB!$C$14:$C$59,C1106)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SUMIFS(RAB!$F$14:$F$59,RAB!$C$14:$C$59,C1107)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SUMIFS(RAB!$F$14:$F$59,RAB!$C$14:$C$59,C1108)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SUMIFS(RAB!$F$14:$F$59,RAB!$C$14:$C$59,C1109)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SUMIFS(RAB!$F$14:$F$59,RAB!$C$14:$C$59,C1110)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SUMIFS(RAB!$F$14:$F$59,RAB!$C$14:$C$59,C1111)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SUMIFS(RAB!$F$14:$F$59,RAB!$C$14:$C$59,C1112)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SUMIFS(RAB!$F$14:$F$59,RAB!$C$14:$C$59,C1113)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SUMIFS(RAB!$F$14:$F$59,RAB!$C$14:$C$59,C1114)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SUMIFS(RAB!$F$14:$F$59,RAB!$C$14:$C$59,C1115)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SUMIFS(RAB!$F$14:$F$59,RAB!$C$14:$C$59,C1116)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SUMIFS(RAB!$F$14:$F$59,RAB!$C$14:$C$59,C1117)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SUMIFS(RAB!$F$14:$F$59,RAB!$C$14:$C$59,C1118)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SUMIFS(RAB!$F$14:$F$59,RAB!$C$14:$C$59,C1119)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SUMIFS(RAB!$F$14:$F$59,RAB!$C$14:$C$59,C1120)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SUMIFS(RAB!$F$14:$F$59,RAB!$C$14:$C$59,C1121)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SUMIFS(RAB!$F$14:$F$59,RAB!$C$14:$C$59,C1122)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SUMIFS(RAB!$F$14:$F$59,RAB!$C$14:$C$59,C1123)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SUMIFS(RAB!$F$14:$F$59,RAB!$C$14:$C$59,C1124)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SUMIFS(RAB!$F$14:$F$59,RAB!$C$14:$C$59,C1125)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SUMIFS(RAB!$F$14:$F$59,RAB!$C$14:$C$59,C1126)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SUMIFS(RAB!$F$14:$F$59,RAB!$C$14:$C$59,C1127)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SUMIFS(RAB!$F$14:$F$59,RAB!$C$14:$C$59,C1128)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SUMIFS(RAB!$F$14:$F$59,RAB!$C$14:$C$59,C1129)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SUMIFS(RAB!$F$14:$F$59,RAB!$C$14:$C$59,C1130)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SUMIFS(RAB!$F$14:$F$59,RAB!$C$14:$C$59,C1131)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SUMIFS(RAB!$F$14:$F$59,RAB!$C$14:$C$59,C1132)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SUMIFS(RAB!$F$14:$F$59,RAB!$C$14:$C$59,C1133)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SUMIFS(RAB!$F$14:$F$59,RAB!$C$14:$C$59,C1134)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SUMIFS(RAB!$F$14:$F$59,RAB!$C$14:$C$59,C1135)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SUMIFS(RAB!$F$14:$F$59,RAB!$C$14:$C$59,C1136)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SUMIFS(RAB!$F$14:$F$59,RAB!$C$14:$C$59,C1137)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SUMIFS(RAB!$F$14:$F$59,RAB!$C$14:$C$59,C1138)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SUMIFS(RAB!$F$14:$F$59,RAB!$C$14:$C$59,C1139)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SUMIFS(RAB!$F$14:$F$59,RAB!$C$14:$C$59,C1140)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SUMIFS(RAB!$F$14:$F$59,RAB!$C$14:$C$59,C1141)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SUMIFS(RAB!$F$14:$F$59,RAB!$C$14:$C$59,C1142)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SUMIFS(RAB!$F$14:$F$59,RAB!$C$14:$C$59,C1143)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SUMIFS(RAB!$F$14:$F$59,RAB!$C$14:$C$59,C1144)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SUMIFS(RAB!$F$14:$F$59,RAB!$C$14:$C$59,C1145)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SUMIFS(RAB!$F$14:$F$59,RAB!$C$14:$C$59,C1146)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SUMIFS(RAB!$F$14:$F$59,RAB!$C$14:$C$59,C1147)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SUMIFS(RAB!$F$14:$F$59,RAB!$C$14:$C$59,C1148)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SUMIFS(RAB!$F$14:$F$59,RAB!$C$14:$C$59,C1149)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SUMIFS(RAB!$F$14:$F$59,RAB!$C$14:$C$59,C1150)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SUMIFS(RAB!$F$14:$F$59,RAB!$C$14:$C$59,C1151)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SUMIFS(RAB!$F$14:$F$59,RAB!$C$14:$C$59,C1152)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SUMIFS(RAB!$F$14:$F$59,RAB!$C$14:$C$59,C1153)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SUMIFS(RAB!$F$14:$F$59,RAB!$C$14:$C$59,C1154)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SUMIFS(RAB!$F$14:$F$59,RAB!$C$14:$C$59,C1155)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SUMIFS(RAB!$F$14:$F$59,RAB!$C$14:$C$59,C1156)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SUMIFS(RAB!$F$14:$F$59,RAB!$C$14:$C$59,C1157)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SUMIFS(RAB!$F$14:$F$59,RAB!$C$14:$C$59,C1158)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SUMIFS(RAB!$F$14:$F$59,RAB!$C$14:$C$59,C1159)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SUMIFS(RAB!$F$14:$F$59,RAB!$C$14:$C$59,C1160)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SUMIFS(RAB!$F$14:$F$59,RAB!$C$14:$C$59,C1161)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SUMIFS(RAB!$F$14:$F$59,RAB!$C$14:$C$59,C1162)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SUMIFS(RAB!$F$14:$F$59,RAB!$C$14:$C$59,C1163)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SUMIFS(RAB!$F$14:$F$59,RAB!$C$14:$C$59,C1164)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SUMIFS(RAB!$F$14:$F$59,RAB!$C$14:$C$59,C1165)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SUMIFS(RAB!$F$14:$F$59,RAB!$C$14:$C$59,C1166)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SUMIFS(RAB!$F$14:$F$59,RAB!$C$14:$C$59,C1167)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SUMIFS(RAB!$F$14:$F$59,RAB!$C$14:$C$59,C1168)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SUMIFS(RAB!$F$14:$F$59,RAB!$C$14:$C$59,C1169)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SUMIFS(RAB!$F$14:$F$59,RAB!$C$14:$C$59,C1170)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SUMIFS(RAB!$F$14:$F$59,RAB!$C$14:$C$59,C1171)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SUMIFS(RAB!$F$14:$F$59,RAB!$C$14:$C$59,C1172)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SUMIFS(RAB!$F$14:$F$59,RAB!$C$14:$C$59,C1173)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SUMIFS(RAB!$F$14:$F$59,RAB!$C$14:$C$59,C1174)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SUMIFS(RAB!$F$14:$F$59,RAB!$C$14:$C$59,C1175)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SUMIFS(RAB!$F$14:$F$59,RAB!$C$14:$C$59,C1176)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SUMIFS(RAB!$F$14:$F$59,RAB!$C$14:$C$59,C1177)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SUMIFS(RAB!$F$14:$F$59,RAB!$C$14:$C$59,C1178)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SUMIFS(RAB!$F$14:$F$59,RAB!$C$14:$C$59,C1179)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SUMIFS(RAB!$F$14:$F$59,RAB!$C$14:$C$59,C1180)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SUMIFS(RAB!$F$14:$F$59,RAB!$C$14:$C$59,C1181)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SUMIFS(RAB!$F$14:$F$59,RAB!$C$14:$C$59,C1182)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SUMIFS(RAB!$F$14:$F$59,RAB!$C$14:$C$59,C1183)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SUMIFS(RAB!$F$14:$F$59,RAB!$C$14:$C$59,C1184)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SUMIFS(RAB!$F$14:$F$59,RAB!$C$14:$C$59,C1185)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SUMIFS(RAB!$F$14:$F$59,RAB!$C$14:$C$59,C1186)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SUMIFS(RAB!$F$14:$F$59,RAB!$C$14:$C$59,C1187)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SUMIFS(RAB!$F$14:$F$59,RAB!$C$14:$C$59,C1188)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SUMIFS(RAB!$F$14:$F$59,RAB!$C$14:$C$59,C1189)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SUMIFS(RAB!$F$14:$F$59,RAB!$C$14:$C$59,C1190)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SUMIFS(RAB!$F$14:$F$59,RAB!$C$14:$C$59,C1191)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SUMIFS(RAB!$F$14:$F$59,RAB!$C$14:$C$59,C1192)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SUMIFS(RAB!$F$14:$F$59,RAB!$C$14:$C$59,C1193)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SUMIFS(RAB!$F$14:$F$59,RAB!$C$14:$C$59,C1194)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SUMIFS(RAB!$F$14:$F$59,RAB!$C$14:$C$59,C1195)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SUMIFS(RAB!$F$14:$F$59,RAB!$C$14:$C$59,C1196)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SUMIFS(RAB!$F$14:$F$59,RAB!$C$14:$C$59,C1197)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SUMIFS(RAB!$F$14:$F$59,RAB!$C$14:$C$59,C1198)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SUMIFS(RAB!$F$14:$F$59,RAB!$C$14:$C$59,C1199)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SUMIFS(RAB!$F$14:$F$59,RAB!$C$14:$C$59,C1200)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SUMIFS(RAB!$F$14:$F$59,RAB!$C$14:$C$59,C1201)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SUMIFS(RAB!$F$14:$F$59,RAB!$C$14:$C$59,C1202)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SUMIFS(RAB!$F$14:$F$59,RAB!$C$14:$C$59,C1203)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SUMIFS(RAB!$F$14:$F$59,RAB!$C$14:$C$59,C1204)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SUMIFS(RAB!$F$14:$F$59,RAB!$C$14:$C$59,C1205)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SUMIFS(RAB!$F$14:$F$59,RAB!$C$14:$C$59,C1206)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SUMIFS(RAB!$F$14:$F$59,RAB!$C$14:$C$59,C1207)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SUMIFS(RAB!$F$14:$F$59,RAB!$C$14:$C$59,C1208)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SUMIFS(RAB!$F$14:$F$59,RAB!$C$14:$C$59,C1209)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SUMIFS(RAB!$F$14:$F$59,RAB!$C$14:$C$59,C1210)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SUMIFS(RAB!$F$14:$F$59,RAB!$C$14:$C$59,C1211)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SUMIFS(RAB!$F$14:$F$59,RAB!$C$14:$C$59,C1212)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SUMIFS(RAB!$F$14:$F$59,RAB!$C$14:$C$59,C1213)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SUMIFS(RAB!$F$14:$F$59,RAB!$C$14:$C$59,C1214)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SUMIFS(RAB!$F$14:$F$59,RAB!$C$14:$C$59,C1215)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SUMIFS(RAB!$F$14:$F$59,RAB!$C$14:$C$59,C1216)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SUMIFS(RAB!$F$14:$F$59,RAB!$C$14:$C$59,C1217)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SUMIFS(RAB!$F$14:$F$59,RAB!$C$14:$C$59,C1218)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SUMIFS(RAB!$F$14:$F$59,RAB!$C$14:$C$59,C1219)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SUMIFS(RAB!$F$14:$F$59,RAB!$C$14:$C$59,C1220)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SUMIFS(RAB!$F$14:$F$59,RAB!$C$14:$C$59,C1221)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SUMIFS(RAB!$F$14:$F$59,RAB!$C$14:$C$59,C1222)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SUMIFS(RAB!$F$14:$F$59,RAB!$C$14:$C$59,C1223)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SUMIFS(RAB!$F$14:$F$59,RAB!$C$14:$C$59,C1224)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SUMIFS(RAB!$F$14:$F$59,RAB!$C$14:$C$59,C1225)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SUMIFS(RAB!$F$14:$F$59,RAB!$C$14:$C$59,C1226)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SUMIFS(RAB!$F$14:$F$59,RAB!$C$14:$C$59,C1227)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SUMIFS(RAB!$F$14:$F$59,RAB!$C$14:$C$59,C1228)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SUMIFS(RAB!$F$14:$F$59,RAB!$C$14:$C$59,C1229)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SUMIFS(RAB!$F$14:$F$59,RAB!$C$14:$C$59,C1230)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SUMIFS(RAB!$F$14:$F$59,RAB!$C$14:$C$59,C1231)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SUMIFS(RAB!$F$14:$F$59,RAB!$C$14:$C$59,C1232)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SUMIFS(RAB!$F$14:$F$59,RAB!$C$14:$C$59,C1233)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SUMIFS(RAB!$F$14:$F$59,RAB!$C$14:$C$59,C1234)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SUMIFS(RAB!$F$14:$F$59,RAB!$C$14:$C$59,C1235)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SUMIFS(RAB!$F$14:$F$59,RAB!$C$14:$C$59,C1236)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SUMIFS(RAB!$F$14:$F$59,RAB!$C$14:$C$59,C1237)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SUMIFS(RAB!$F$14:$F$59,RAB!$C$14:$C$59,C1238)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SUMIFS(RAB!$F$14:$F$59,RAB!$C$14:$C$59,C1239)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SUMIFS(RAB!$F$14:$F$59,RAB!$C$14:$C$59,C1240)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SUMIFS(RAB!$F$14:$F$59,RAB!$C$14:$C$59,C1241)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SUMIFS(RAB!$F$14:$F$59,RAB!$C$14:$C$59,C1242)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SUMIFS(RAB!$F$14:$F$59,RAB!$C$14:$C$59,C1243)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SUMIFS(RAB!$F$14:$F$59,RAB!$C$14:$C$59,C1244)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SUMIFS(RAB!$F$14:$F$59,RAB!$C$14:$C$59,C1245)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SUMIFS(RAB!$F$14:$F$59,RAB!$C$14:$C$59,C1246)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SUMIFS(RAB!$F$14:$F$59,RAB!$C$14:$C$59,C1247)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SUMIFS(RAB!$F$14:$F$59,RAB!$C$14:$C$59,C1248)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SUMIFS(RAB!$F$14:$F$59,RAB!$C$14:$C$59,C1249)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SUMIFS(RAB!$F$14:$F$59,RAB!$C$14:$C$59,C1250)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SUMIFS(RAB!$F$14:$F$59,RAB!$C$14:$C$59,C1251)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SUMIFS(RAB!$F$14:$F$59,RAB!$C$14:$C$59,C1252)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SUMIFS(RAB!$F$14:$F$59,RAB!$C$14:$C$59,C1253)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SUMIFS(RAB!$F$14:$F$59,RAB!$C$14:$C$59,C1254)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SUMIFS(RAB!$F$14:$F$59,RAB!$C$14:$C$59,C1255)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SUMIFS(RAB!$F$14:$F$59,RAB!$C$14:$C$59,C1256)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SUMIFS(RAB!$F$14:$F$59,RAB!$C$14:$C$59,C1257)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SUMIFS(RAB!$F$14:$F$59,RAB!$C$14:$C$59,C1258)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SUMIFS(RAB!$F$14:$F$59,RAB!$C$14:$C$59,C1259)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SUMIFS(RAB!$F$14:$F$59,RAB!$C$14:$C$59,C1260)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SUMIFS(RAB!$F$14:$F$59,RAB!$C$14:$C$59,C1261)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SUMIFS(RAB!$F$14:$F$59,RAB!$C$14:$C$59,C1262)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SUMIFS(RAB!$F$14:$F$59,RAB!$C$14:$C$59,C1263)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SUMIFS(RAB!$F$14:$F$59,RAB!$C$14:$C$59,C1264)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SUMIFS(RAB!$F$14:$F$59,RAB!$C$14:$C$59,C1265)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SUMIFS(RAB!$F$14:$F$59,RAB!$C$14:$C$59,C1266)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SUMIFS(RAB!$F$14:$F$59,RAB!$C$14:$C$59,C1267)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SUMIFS(RAB!$F$14:$F$59,RAB!$C$14:$C$59,C1268)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SUMIFS(RAB!$F$14:$F$59,RAB!$C$14:$C$59,C1269)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SUMIFS(RAB!$F$14:$F$59,RAB!$C$14:$C$59,C1270)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SUMIFS(RAB!$F$14:$F$59,RAB!$C$14:$C$59,C1271)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SUMIFS(RAB!$F$14:$F$59,RAB!$C$14:$C$59,C1272)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SUMIFS(RAB!$F$14:$F$59,RAB!$C$14:$C$59,C1273)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SUMIFS(RAB!$F$14:$F$59,RAB!$C$14:$C$59,C1274)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SUMIFS(RAB!$F$14:$F$59,RAB!$C$14:$C$59,C1275)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SUMIFS(RAB!$F$14:$F$59,RAB!$C$14:$C$59,C1276)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SUMIFS(RAB!$F$14:$F$59,RAB!$C$14:$C$59,C1277)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SUMIFS(RAB!$F$14:$F$59,RAB!$C$14:$C$59,C1278)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SUMIFS(RAB!$F$14:$F$59,RAB!$C$14:$C$59,C1279)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SUMIFS(RAB!$F$14:$F$59,RAB!$C$14:$C$59,C1280)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SUMIFS(RAB!$F$14:$F$59,RAB!$C$14:$C$59,C1281)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SUMIFS(RAB!$F$14:$F$59,RAB!$C$14:$C$59,C1282)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SUMIFS(RAB!$F$14:$F$59,RAB!$C$14:$C$59,C1283)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SUMIFS(RAB!$F$14:$F$59,RAB!$C$14:$C$59,C1284)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SUMIFS(RAB!$F$14:$F$59,RAB!$C$14:$C$59,C1285)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SUMIFS(RAB!$F$14:$F$59,RAB!$C$14:$C$59,C1286)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SUMIFS(RAB!$F$14:$F$59,RAB!$C$14:$C$59,C1287)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SUMIFS(RAB!$F$14:$F$59,RAB!$C$14:$C$59,C1288)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SUMIFS(RAB!$F$14:$F$59,RAB!$C$14:$C$59,C1289)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SUMIFS(RAB!$F$14:$F$59,RAB!$C$14:$C$59,C1290)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SUMIFS(RAB!$F$14:$F$59,RAB!$C$14:$C$59,C1291)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SUMIFS(RAB!$F$14:$F$59,RAB!$C$14:$C$59,C1292)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SUMIFS(RAB!$F$14:$F$59,RAB!$C$14:$C$59,C1293)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SUMIFS(RAB!$F$14:$F$59,RAB!$C$14:$C$59,C1294)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SUMIFS(RAB!$F$14:$F$59,RAB!$C$14:$C$59,C1295)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SUMIFS(RAB!$F$14:$F$59,RAB!$C$14:$C$59,C1296)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SUMIFS(RAB!$F$14:$F$59,RAB!$C$14:$C$59,C1297)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SUMIFS(RAB!$F$14:$F$59,RAB!$C$14:$C$59,C1298)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SUMIFS(RAB!$F$14:$F$59,RAB!$C$14:$C$59,C1299)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SUMIFS(RAB!$F$14:$F$59,RAB!$C$14:$C$59,C1300)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SUMIFS(RAB!$F$14:$F$59,RAB!$C$14:$C$59,C1301)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SUMIFS(RAB!$F$14:$F$59,RAB!$C$14:$C$59,C1302)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SUMIFS(RAB!$F$14:$F$59,RAB!$C$14:$C$59,C1303)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SUMIFS(RAB!$F$14:$F$59,RAB!$C$14:$C$59,C1304)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SUMIFS(RAB!$F$14:$F$59,RAB!$C$14:$C$59,C1305)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SUMIFS(RAB!$F$14:$F$59,RAB!$C$14:$C$59,C1306)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SUMIFS(RAB!$F$14:$F$59,RAB!$C$14:$C$59,C1307)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SUMIFS(RAB!$F$14:$F$59,RAB!$C$14:$C$59,C1308)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SUMIFS(RAB!$F$14:$F$59,RAB!$C$14:$C$59,C1309)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SUMIFS(RAB!$F$14:$F$59,RAB!$C$14:$C$59,C1310)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SUMIFS(RAB!$F$14:$F$59,RAB!$C$14:$C$59,C1311)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SUMIFS(RAB!$F$14:$F$59,RAB!$C$14:$C$59,C1312)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SUMIFS(RAB!$F$14:$F$59,RAB!$C$14:$C$59,C1313)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SUMIFS(RAB!$F$14:$F$59,RAB!$C$14:$C$59,C1314)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SUMIFS(RAB!$F$14:$F$59,RAB!$C$14:$C$59,C1315)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SUMIFS(RAB!$F$14:$F$59,RAB!$C$14:$C$59,C1316)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SUMIFS(RAB!$F$14:$F$59,RAB!$C$14:$C$59,C1317)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SUMIFS(RAB!$F$14:$F$59,RAB!$C$14:$C$59,C1318)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SUMIFS(RAB!$F$14:$F$59,RAB!$C$14:$C$59,C1319)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SUMIFS(RAB!$F$14:$F$59,RAB!$C$14:$C$59,C1320)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BADRUL ANAM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KARANGJATI 3/6 DS PUTATSARI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SUMIFS(RAB!$F$14:$F$59,RAB!$C$14:$C$59,'REKAP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SUMIFS(RAB!$F$14:$F$59,RAB!$C$14:$C$59,'REKAP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SUMIFS(RAB!$F$14:$F$59,RAB!$C$14:$C$59,'REKAP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SUMIFS(RAB!$F$14:$F$59,RAB!$C$14:$C$59,'REKAP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SUMIFS(RAB!$F$14:$F$59,RAB!$C$14:$C$59,'REKAP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SUMIFS(RAB!$F$14:$F$59,RAB!$C$14:$C$59,'REKAP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SUMIFS(RAB!$F$14:$F$59,RAB!$C$14:$C$59,'REKAP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SUMIFS(RAB!$F$14:$F$59,RAB!$C$14:$C$59,'REKAP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SUMIFS(RAB!$F$14:$F$59,RAB!$C$14:$C$59,'REKAP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SUMIFS(RAB!$F$14:$F$59,RAB!$C$14:$C$59,'REKAP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SUMIFS(RAB!$F$14:$F$59,RAB!$C$14:$C$59,'REKAP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SUMIFS(RAB!$F$14:$F$59,RAB!$C$14:$C$59,'REKAP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SUMIFS(RAB!$F$14:$F$59,RAB!$C$14:$C$59,'REKAP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SUMIFS(RAB!$F$14:$F$59,RAB!$C$14:$C$59,'REKAP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SUMIFS(RAB!$F$14:$F$59,RAB!$C$14:$C$59,'REKAP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SUMIFS(RAB!$F$14:$F$59,RAB!$C$14:$C$59,'REKAP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SUMIFS(RAB!$F$14:$F$59,RAB!$C$14:$C$59,'REKAP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SUMIFS(RAB!$F$14:$F$59,RAB!$C$14:$C$59,'REKAP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SUMIFS(RAB!$F$14:$F$59,RAB!$C$14:$C$59,'REKAP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SUMIFS(RAB!$F$14:$F$59,RAB!$C$14:$C$59,'REKAP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BADRUL ANAM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DN KARANGJATI 3/6 DS PUTATSARI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52599750</v>
      </c>
      <c r="I168" s="55">
        <f ca="1">SUM(I14:I167)</f>
        <v>0</v>
      </c>
      <c r="J168" s="55">
        <f ca="1">SUM(J14:J167)</f>
        <v>0</v>
      </c>
      <c r="K168" s="55">
        <f ca="1">SUM(K14:K167)</f>
        <v>52599750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5259975</v>
      </c>
      <c r="I169" s="60">
        <f ca="1">I168*0.1</f>
        <v>0</v>
      </c>
      <c r="J169" s="60">
        <f ca="1">J168*0.1</f>
        <v>0</v>
      </c>
      <c r="K169" s="60">
        <f ca="1">K168*0.1</f>
        <v>5259975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57859725</v>
      </c>
      <c r="I170" s="78">
        <f ca="1">SUM(I168:I169)</f>
        <v>0</v>
      </c>
      <c r="J170" s="61">
        <f ca="1">SUM(J168:J169)</f>
        <v>0</v>
      </c>
      <c r="K170" s="61">
        <f ca="1">SUM(K168:K169)</f>
        <v>57859725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SUMIFS(RAB!$F$14:$F$59,RAB!$C$14:$C$59,C224)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SUMIFS(RAB!$F$14:$F$59,RAB!$C$14:$C$59,C225)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SUMIFS(RAB!$F$14:$F$59,RAB!$C$14:$C$59,C226)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SUMIFS(RAB!$F$14:$F$59,RAB!$C$14:$C$59,C227)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SUMIFS(RAB!$F$14:$F$59,RAB!$C$14:$C$59,C228)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SUMIFS(RAB!$F$14:$F$59,RAB!$C$14:$C$59,C229)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SUMIFS(RAB!$F$14:$F$59,RAB!$C$14:$C$59,C230)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SUMIFS(RAB!$F$14:$F$59,RAB!$C$14:$C$59,C231)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SUMIFS(RAB!$F$14:$F$59,RAB!$C$14:$C$59,C232)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SUMIFS(RAB!$F$14:$F$59,RAB!$C$14:$C$59,C233)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SUMIFS(RAB!$F$14:$F$59,RAB!$C$14:$C$59,C234)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SUMIFS(RAB!$F$14:$F$59,RAB!$C$14:$C$59,C235)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SUMIFS(RAB!$F$14:$F$59,RAB!$C$14:$C$59,C236)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SUMIFS(RAB!$F$14:$F$59,RAB!$C$14:$C$59,C237)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SUMIFS(RAB!$F$14:$F$59,RAB!$C$14:$C$59,C238)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SUMIFS(RAB!$F$14:$F$59,RAB!$C$14:$C$59,C239)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SUMIFS(RAB!$F$14:$F$59,RAB!$C$14:$C$59,C240)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SUMIFS(RAB!$F$14:$F$59,RAB!$C$14:$C$59,C241)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SUMIFS(RAB!$F$14:$F$59,RAB!$C$14:$C$59,C242)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SUMIFS(RAB!$F$14:$F$59,RAB!$C$14:$C$59,C243)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SUMIFS(RAB!$F$14:$F$59,RAB!$C$14:$C$59,C244)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SUMIFS(RAB!$F$14:$F$59,RAB!$C$14:$C$59,C245)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SUMIFS(RAB!$F$14:$F$59,RAB!$C$14:$C$59,C246)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SUMIFS(RAB!$F$14:$F$59,RAB!$C$14:$C$59,C247)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SUMIFS(RAB!$F$14:$F$59,RAB!$C$14:$C$59,C248)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SUMIFS(RAB!$F$14:$F$59,RAB!$C$14:$C$59,C249)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SUMIFS(RAB!$F$14:$F$59,RAB!$C$14:$C$59,C250)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SUMIFS(RAB!$F$14:$F$59,RAB!$C$14:$C$59,C251)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SUMIFS(RAB!$F$14:$F$59,RAB!$C$14:$C$59,C252)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SUMIFS(RAB!$F$14:$F$59,RAB!$C$14:$C$59,C253)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SUMIFS(RAB!$F$14:$F$59,RAB!$C$14:$C$59,C254)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SUMIFS(RAB!$F$14:$F$59,RAB!$C$14:$C$59,C255)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SUMIFS(RAB!$F$14:$F$59,RAB!$C$14:$C$59,C256)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SUMIFS(RAB!$F$14:$F$59,RAB!$C$14:$C$59,C257)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SUMIFS(RAB!$F$14:$F$59,RAB!$C$14:$C$59,C258)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SUMIFS(RAB!$F$14:$F$59,RAB!$C$14:$C$59,C259)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SUMIFS(RAB!$F$14:$F$59,RAB!$C$14:$C$59,C260)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SUMIFS(RAB!$F$14:$F$59,RAB!$C$14:$C$59,C261)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SUMIFS(RAB!$F$14:$F$59,RAB!$C$14:$C$59,C262)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SUMIFS(RAB!$F$14:$F$59,RAB!$C$14:$C$59,C263)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SUMIFS(RAB!$F$14:$F$59,RAB!$C$14:$C$59,C264)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SUMIFS(RAB!$F$14:$F$59,RAB!$C$14:$C$59,C265)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SUMIFS(RAB!$F$14:$F$59,RAB!$C$14:$C$59,C266)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SUMIFS(RAB!$F$14:$F$59,RAB!$C$14:$C$59,C267)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SUMIFS(RAB!$F$14:$F$59,RAB!$C$14:$C$59,C268)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SUMIFS(RAB!$F$14:$F$59,RAB!$C$14:$C$59,C269)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SUMIFS(RAB!$F$14:$F$59,RAB!$C$14:$C$59,C270)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SUMIFS(RAB!$F$14:$F$59,RAB!$C$14:$C$59,C271)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SUMIFS(RAB!$F$14:$F$59,RAB!$C$14:$C$59,C272)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SUMIFS(RAB!$F$14:$F$59,RAB!$C$14:$C$59,C273)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SUMIFS(RAB!$F$14:$F$59,RAB!$C$14:$C$59,C274)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SUMIFS(RAB!$F$14:$F$59,RAB!$C$14:$C$59,C275)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SUMIFS(RAB!$F$14:$F$59,RAB!$C$14:$C$59,C276)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SUMIFS(RAB!$F$14:$F$59,RAB!$C$14:$C$59,C277)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SUMIFS(RAB!$F$14:$F$59,RAB!$C$14:$C$59,C278)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SUMIFS(RAB!$F$14:$F$59,RAB!$C$14:$C$59,C279)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SUMIFS(RAB!$F$14:$F$59,RAB!$C$14:$C$59,C280)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SUMIFS(RAB!$F$14:$F$59,RAB!$C$14:$C$59,C281)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SUMIFS(RAB!$F$14:$F$59,RAB!$C$14:$C$59,C282)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SUMIFS(RAB!$F$14:$F$59,RAB!$C$14:$C$59,C283)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SUMIFS(RAB!$F$14:$F$59,RAB!$C$14:$C$59,C284)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SUMIFS(RAB!$F$14:$F$59,RAB!$C$14:$C$59,C285)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SUMIFS(RAB!$F$14:$F$59,RAB!$C$14:$C$59,C286)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SUMIFS(RAB!$F$14:$F$59,RAB!$C$14:$C$59,C287)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SUMIFS(RAB!$F$14:$F$59,RAB!$C$14:$C$59,C288)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SUMIFS(RAB!$F$14:$F$59,RAB!$C$14:$C$59,C289)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SUMIFS(RAB!$F$14:$F$59,RAB!$C$14:$C$59,C290)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SUMIFS(RAB!$F$14:$F$59,RAB!$C$14:$C$59,C291)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SUMIFS(RAB!$F$14:$F$59,RAB!$C$14:$C$59,C292)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SUMIFS(RAB!$F$14:$F$59,RAB!$C$14:$C$59,C293)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SUMIFS(RAB!$F$14:$F$59,RAB!$C$14:$C$59,C294)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SUMIFS(RAB!$F$14:$F$59,RAB!$C$14:$C$59,C295)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SUMIFS(RAB!$F$14:$F$59,RAB!$C$14:$C$59,C296)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SUMIFS(RAB!$F$14:$F$59,RAB!$C$14:$C$59,C297)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SUMIFS(RAB!$F$14:$F$59,RAB!$C$14:$C$59,C298)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SUMIFS(RAB!$F$14:$F$59,RAB!$C$14:$C$59,C299)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SUMIFS(RAB!$F$14:$F$59,RAB!$C$14:$C$59,C300)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SUMIFS(RAB!$F$14:$F$59,RAB!$C$14:$C$59,C301)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SUMIFS(RAB!$F$14:$F$59,RAB!$C$14:$C$59,C302)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SUMIFS(RAB!$F$14:$F$59,RAB!$C$14:$C$59,C303)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SUMIFS(RAB!$F$14:$F$59,RAB!$C$14:$C$59,C304)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SUMIFS(RAB!$F$14:$F$59,RAB!$C$14:$C$59,C305)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SUMIFS(RAB!$F$14:$F$59,RAB!$C$14:$C$59,C306)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SUMIFS(RAB!$F$14:$F$59,RAB!$C$14:$C$59,C307)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SUMIFS(RAB!$F$14:$F$59,RAB!$C$14:$C$59,C308)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SUMIFS(RAB!$F$14:$F$59,RAB!$C$14:$C$59,C309)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SUMIFS(RAB!$F$14:$F$59,RAB!$C$14:$C$59,C310)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SUMIFS(RAB!$F$14:$F$59,RAB!$C$14:$C$59,C311)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SUMIFS(RAB!$F$14:$F$59,RAB!$C$14:$C$59,C312)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SUMIFS(RAB!$F$14:$F$59,RAB!$C$14:$C$59,C313)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SUMIFS(RAB!$F$14:$F$59,RAB!$C$14:$C$59,C314)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SUMIFS(RAB!$F$14:$F$59,RAB!$C$14:$C$59,C315)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SUMIFS(RAB!$F$14:$F$59,RAB!$C$14:$C$59,C316)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SUMIFS(RAB!$F$14:$F$59,RAB!$C$14:$C$59,C317)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SUMIFS(RAB!$F$14:$F$59,RAB!$C$14:$C$59,C318)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SUMIFS(RAB!$F$14:$F$59,RAB!$C$14:$C$59,C319)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SUMIFS(RAB!$F$14:$F$59,RAB!$C$14:$C$59,C320)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SUMIFS(RAB!$F$14:$F$59,RAB!$C$14:$C$59,C321)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SUMIFS(RAB!$F$14:$F$59,RAB!$C$14:$C$59,C322)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SUMIFS(RAB!$F$14:$F$59,RAB!$C$14:$C$59,C323)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SUMIFS(RAB!$F$14:$F$59,RAB!$C$14:$C$59,C324)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SUMIFS(RAB!$F$14:$F$59,RAB!$C$14:$C$59,C325)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SUMIFS(RAB!$F$14:$F$59,RAB!$C$14:$C$59,C326)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SUMIFS(RAB!$F$14:$F$59,RAB!$C$14:$C$59,C327)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SUMIFS(RAB!$F$14:$F$59,RAB!$C$14:$C$59,C328)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SUMIFS(RAB!$F$14:$F$59,RAB!$C$14:$C$59,C329)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SUMIFS(RAB!$F$14:$F$59,RAB!$C$14:$C$59,C330)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SUMIFS(RAB!$F$14:$F$59,RAB!$C$14:$C$59,C331)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SUMIFS(RAB!$F$14:$F$59,RAB!$C$14:$C$59,C332)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SUMIFS(RAB!$F$14:$F$59,RAB!$C$14:$C$59,C333)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SUMIFS(RAB!$F$14:$F$59,RAB!$C$14:$C$59,C334)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SUMIFS(RAB!$F$14:$F$59,RAB!$C$14:$C$59,C335)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SUMIFS(RAB!$F$14:$F$59,RAB!$C$14:$C$59,C336)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SUMIFS(RAB!$F$14:$F$59,RAB!$C$14:$C$59,C337)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SUMIFS(RAB!$F$14:$F$59,RAB!$C$14:$C$59,C338)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SUMIFS(RAB!$F$14:$F$59,RAB!$C$14:$C$59,C339)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SUMIFS(RAB!$F$14:$F$59,RAB!$C$14:$C$59,C340)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SUMIFS(RAB!$F$14:$F$59,RAB!$C$14:$C$59,C341)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SUMIFS(RAB!$F$14:$F$59,RAB!$C$14:$C$59,C342)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SUMIFS(RAB!$F$14:$F$59,RAB!$C$14:$C$59,C343)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SUMIFS(RAB!$F$14:$F$59,RAB!$C$14:$C$59,C344)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SUMIFS(RAB!$F$14:$F$59,RAB!$C$14:$C$59,C345)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SUMIFS(RAB!$F$14:$F$59,RAB!$C$14:$C$59,C346)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SUMIFS(RAB!$F$14:$F$59,RAB!$C$14:$C$59,C347)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SUMIFS(RAB!$F$14:$F$59,RAB!$C$14:$C$59,C348)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SUMIFS(RAB!$F$14:$F$59,RAB!$C$14:$C$59,C349)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SUMIFS(RAB!$F$14:$F$59,RAB!$C$14:$C$59,C350)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SUMIFS(RAB!$F$14:$F$59,RAB!$C$14:$C$59,C351)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SUMIFS(RAB!$F$14:$F$59,RAB!$C$14:$C$59,C352)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SUMIFS(RAB!$F$14:$F$59,RAB!$C$14:$C$59,C353)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SUMIFS(RAB!$F$14:$F$59,RAB!$C$14:$C$59,C354)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SUMIFS(RAB!$F$14:$F$59,RAB!$C$14:$C$59,C355)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SUMIFS(RAB!$F$14:$F$59,RAB!$C$14:$C$59,C356)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SUMIFS(RAB!$F$14:$F$59,RAB!$C$14:$C$59,C357)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SUMIFS(RAB!$F$14:$F$59,RAB!$C$14:$C$59,C358)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SUMIFS(RAB!$F$14:$F$59,RAB!$C$14:$C$59,C359)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SUMIFS(RAB!$F$14:$F$59,RAB!$C$14:$C$59,C360)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SUMIFS(RAB!$F$14:$F$59,RAB!$C$14:$C$59,C361)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SUMIFS(RAB!$F$14:$F$59,RAB!$C$14:$C$59,C362)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SUMIFS(RAB!$F$14:$F$59,RAB!$C$14:$C$59,C363)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SUMIFS(RAB!$F$14:$F$59,RAB!$C$14:$C$59,C364)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SUMIFS(RAB!$F$14:$F$59,RAB!$C$14:$C$59,C365)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SUMIFS(RAB!$F$14:$F$59,RAB!$C$14:$C$59,C366)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SUMIFS(RAB!$F$14:$F$59,RAB!$C$14:$C$59,C367)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SUMIFS(RAB!$F$14:$F$59,RAB!$C$14:$C$59,C368)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SUMIFS(RAB!$F$14:$F$59,RAB!$C$14:$C$59,C369)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SUMIFS(RAB!$F$14:$F$59,RAB!$C$14:$C$59,C370)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SUMIFS(RAB!$F$14:$F$59,RAB!$C$14:$C$59,C371)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SUMIFS(RAB!$F$14:$F$59,RAB!$C$14:$C$59,C372)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SUMIFS(RAB!$F$14:$F$59,RAB!$C$14:$C$59,C373)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1605</v>
      </c>
      <c r="G4" s="108" t="s">
        <v>1604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K13" sqref="K13:L1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5" t="s">
        <v>1454</v>
      </c>
      <c r="C2" s="585"/>
      <c r="D2" s="585"/>
      <c r="E2" s="58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0" t="s">
        <v>1532</v>
      </c>
      <c r="C4" s="591"/>
      <c r="D4" s="591"/>
      <c r="E4" s="592"/>
      <c r="F4" s="434"/>
      <c r="G4" s="434"/>
      <c r="H4" s="435"/>
      <c r="I4" s="556" t="s">
        <v>1533</v>
      </c>
      <c r="J4" s="557"/>
      <c r="K4" s="557"/>
      <c r="L4" s="558"/>
    </row>
    <row r="5" spans="1:12" ht="46.5" customHeight="1">
      <c r="A5" s="204"/>
      <c r="B5" s="437" t="s">
        <v>1379</v>
      </c>
      <c r="C5" s="277" t="s">
        <v>9</v>
      </c>
      <c r="D5" s="586" t="str">
        <f>DATA!D14</f>
        <v>BADRUL ANAM</v>
      </c>
      <c r="E5" s="587"/>
      <c r="F5" s="208"/>
      <c r="G5" s="208"/>
      <c r="I5" s="438" t="s">
        <v>1379</v>
      </c>
      <c r="J5" s="277" t="s">
        <v>9</v>
      </c>
      <c r="K5" s="559" t="str">
        <f>D5</f>
        <v>BADRUL ANAM</v>
      </c>
      <c r="L5" s="560"/>
    </row>
    <row r="6" spans="1:12" ht="31.5" customHeight="1">
      <c r="A6" s="204"/>
      <c r="B6" s="437" t="s">
        <v>1529</v>
      </c>
      <c r="C6" s="277" t="s">
        <v>9</v>
      </c>
      <c r="D6" s="595">
        <f>DATA!D17*1000</f>
        <v>0</v>
      </c>
      <c r="E6" s="596"/>
      <c r="F6" s="208"/>
      <c r="G6" s="208"/>
      <c r="I6" s="438" t="s">
        <v>1530</v>
      </c>
      <c r="J6" s="277" t="s">
        <v>9</v>
      </c>
      <c r="K6" s="561">
        <f>DATA!D20*1000</f>
        <v>41500</v>
      </c>
      <c r="L6" s="562"/>
    </row>
    <row r="7" spans="1:12" ht="30.75" customHeight="1">
      <c r="A7" s="204"/>
      <c r="B7" s="437" t="s">
        <v>1441</v>
      </c>
      <c r="C7" s="277" t="s">
        <v>9</v>
      </c>
      <c r="D7" s="593">
        <f>DATA!D18</f>
        <v>1</v>
      </c>
      <c r="E7" s="594"/>
      <c r="F7" s="436" t="s">
        <v>1453</v>
      </c>
      <c r="I7" s="438" t="s">
        <v>1441</v>
      </c>
      <c r="J7" s="277" t="s">
        <v>9</v>
      </c>
      <c r="K7" s="563">
        <f>DATA!D21</f>
        <v>3</v>
      </c>
      <c r="L7" s="564"/>
    </row>
    <row r="8" spans="1:12" ht="51" customHeight="1">
      <c r="A8" s="204"/>
      <c r="B8" s="437" t="s">
        <v>1442</v>
      </c>
      <c r="C8" s="277" t="s">
        <v>9</v>
      </c>
      <c r="D8" s="593">
        <f>DATA!D19</f>
        <v>220</v>
      </c>
      <c r="E8" s="594"/>
      <c r="F8" s="436" t="s">
        <v>1453</v>
      </c>
      <c r="G8" s="431">
        <v>220</v>
      </c>
      <c r="I8" s="438" t="s">
        <v>1442</v>
      </c>
      <c r="J8" s="277" t="s">
        <v>9</v>
      </c>
      <c r="K8" s="563">
        <f>DATA!D22</f>
        <v>380</v>
      </c>
      <c r="L8" s="564"/>
    </row>
    <row r="9" spans="1:12" ht="30" customHeight="1" thickBot="1">
      <c r="A9" s="204"/>
      <c r="B9" s="443" t="s">
        <v>1541</v>
      </c>
      <c r="C9" s="433" t="s">
        <v>9</v>
      </c>
      <c r="D9" s="588">
        <f>IF(D7=1,D6/(380/3^0.5),(D6/(380*3^0.5)))</f>
        <v>0</v>
      </c>
      <c r="E9" s="589"/>
      <c r="F9" s="207"/>
      <c r="G9" s="432">
        <v>380</v>
      </c>
      <c r="I9" s="444" t="s">
        <v>1541</v>
      </c>
      <c r="J9" s="433" t="s">
        <v>9</v>
      </c>
      <c r="K9" s="567">
        <f>IF(K7=1,K6/(380/3^0.5),(K6/(380*3^0.5)))</f>
        <v>63.052726766761765</v>
      </c>
      <c r="L9" s="568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97"/>
      <c r="E12" s="598"/>
      <c r="F12" s="208"/>
      <c r="G12" s="208"/>
      <c r="I12" s="460" t="s">
        <v>1534</v>
      </c>
      <c r="J12" s="461" t="s">
        <v>9</v>
      </c>
      <c r="K12" s="597" t="s">
        <v>1624</v>
      </c>
      <c r="L12" s="598"/>
    </row>
    <row r="13" spans="1:12" ht="31.5" customHeight="1">
      <c r="A13" s="204"/>
      <c r="B13" s="468" t="s">
        <v>1380</v>
      </c>
      <c r="C13" s="448" t="s">
        <v>9</v>
      </c>
      <c r="D13" s="565"/>
      <c r="E13" s="566"/>
      <c r="F13" s="208"/>
      <c r="G13" s="208"/>
      <c r="I13" s="462" t="s">
        <v>1380</v>
      </c>
      <c r="J13" s="448" t="s">
        <v>9</v>
      </c>
      <c r="K13" s="565" t="s">
        <v>1621</v>
      </c>
      <c r="L13" s="566"/>
    </row>
    <row r="14" spans="1:12" ht="30.75" customHeight="1">
      <c r="A14" s="204"/>
      <c r="B14" s="468" t="s">
        <v>1535</v>
      </c>
      <c r="C14" s="448" t="s">
        <v>9</v>
      </c>
      <c r="D14" s="569"/>
      <c r="E14" s="570"/>
      <c r="F14" s="436" t="s">
        <v>1453</v>
      </c>
      <c r="G14" s="440">
        <v>50</v>
      </c>
      <c r="I14" s="462" t="s">
        <v>1535</v>
      </c>
      <c r="J14" s="448" t="s">
        <v>9</v>
      </c>
      <c r="K14" s="569">
        <v>50</v>
      </c>
      <c r="L14" s="570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71">
        <v>72</v>
      </c>
      <c r="E16" s="572"/>
      <c r="F16" s="436"/>
      <c r="G16" s="440">
        <v>160</v>
      </c>
      <c r="I16" s="462" t="s">
        <v>1537</v>
      </c>
      <c r="J16" s="448" t="s">
        <v>9</v>
      </c>
      <c r="K16" s="575">
        <f>K9</f>
        <v>63.052726766761765</v>
      </c>
      <c r="L16" s="576"/>
    </row>
    <row r="17" spans="1:12" ht="34.5" customHeight="1">
      <c r="A17" s="204"/>
      <c r="B17" s="468" t="s">
        <v>1538</v>
      </c>
      <c r="C17" s="448" t="s">
        <v>9</v>
      </c>
      <c r="D17" s="573">
        <f>IF(D15=1,D14/(20/3^0.5),(D14/(20*3^0.5)))</f>
        <v>0</v>
      </c>
      <c r="E17" s="574"/>
      <c r="F17" s="436" t="s">
        <v>1453</v>
      </c>
      <c r="G17" s="441">
        <v>200</v>
      </c>
      <c r="I17" s="462" t="s">
        <v>1538</v>
      </c>
      <c r="J17" s="448" t="s">
        <v>9</v>
      </c>
      <c r="K17" s="579">
        <f>IF(K15=1,K14/(20/3^0.5),(K14/(20*3^0.5)))</f>
        <v>1.4433756729740645</v>
      </c>
      <c r="L17" s="580"/>
    </row>
    <row r="18" spans="1:12" ht="34.5" customHeight="1">
      <c r="A18" s="204"/>
      <c r="B18" s="468" t="s">
        <v>1539</v>
      </c>
      <c r="C18" s="448" t="s">
        <v>9</v>
      </c>
      <c r="D18" s="573">
        <f>IF(D15=1,D14/(380/3^0.5),(D14/(380*3^0.5)))*1000</f>
        <v>0</v>
      </c>
      <c r="E18" s="574"/>
      <c r="F18" s="436" t="s">
        <v>1453</v>
      </c>
      <c r="G18" s="441">
        <v>250</v>
      </c>
      <c r="I18" s="462" t="s">
        <v>1539</v>
      </c>
      <c r="J18" s="448" t="s">
        <v>9</v>
      </c>
      <c r="K18" s="579">
        <f>IF(K15=1,K14/(380/3^0.5),(K14/(380*3^0.5)))*1000</f>
        <v>75.96714068284551</v>
      </c>
      <c r="L18" s="580"/>
    </row>
    <row r="19" spans="1:12" ht="30" customHeight="1">
      <c r="A19" s="204"/>
      <c r="B19" s="469" t="s">
        <v>1531</v>
      </c>
      <c r="C19" s="447" t="s">
        <v>9</v>
      </c>
      <c r="D19" s="573">
        <f>IF(D15=1,D14/(380/3^0.5),(D14/(380*3^0.5)))</f>
        <v>0</v>
      </c>
      <c r="E19" s="574"/>
      <c r="F19" s="207"/>
      <c r="G19" s="432"/>
      <c r="I19" s="464" t="s">
        <v>1531</v>
      </c>
      <c r="J19" s="447" t="s">
        <v>9</v>
      </c>
      <c r="K19" s="579">
        <f>IF(K15=1,K14/(380/3^0.5),(K14/(380*3^0.5)))</f>
        <v>7.5967140682845505E-2</v>
      </c>
      <c r="L19" s="580"/>
    </row>
    <row r="20" spans="1:12" ht="30" customHeight="1" thickBot="1">
      <c r="A20" s="204"/>
      <c r="B20" s="470" t="s">
        <v>1540</v>
      </c>
      <c r="C20" s="466" t="s">
        <v>9</v>
      </c>
      <c r="D20" s="599" t="e">
        <f>D16/D18</f>
        <v>#DIV/0!</v>
      </c>
      <c r="E20" s="600"/>
      <c r="F20" s="207"/>
      <c r="G20" s="432"/>
      <c r="I20" s="465" t="s">
        <v>1531</v>
      </c>
      <c r="J20" s="466" t="s">
        <v>9</v>
      </c>
      <c r="K20" s="577">
        <f>K16/K18</f>
        <v>0.82999999999999985</v>
      </c>
      <c r="L20" s="578"/>
    </row>
    <row r="21" spans="1:12" ht="9.75" customHeight="1">
      <c r="A21" s="204"/>
      <c r="B21" s="455" t="s">
        <v>1540</v>
      </c>
      <c r="C21" s="456" t="s">
        <v>9</v>
      </c>
      <c r="D21" s="584">
        <v>1</v>
      </c>
      <c r="E21" s="584"/>
      <c r="F21" s="457"/>
      <c r="G21" s="458"/>
      <c r="H21" s="459"/>
      <c r="I21" s="455" t="s">
        <v>1531</v>
      </c>
      <c r="J21" s="456" t="s">
        <v>9</v>
      </c>
      <c r="K21" s="584">
        <v>1</v>
      </c>
      <c r="L21" s="584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81"/>
      <c r="C24" s="582"/>
      <c r="D24" s="582"/>
      <c r="E24" s="583"/>
      <c r="I24" s="581"/>
      <c r="J24" s="582"/>
      <c r="K24" s="582"/>
      <c r="L24" s="583"/>
    </row>
    <row r="26" spans="1:12">
      <c r="D26" s="450"/>
    </row>
    <row r="27" spans="1:12">
      <c r="D27" s="45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15" zoomScaleNormal="100" workbookViewId="0">
      <selection activeCell="D25" sqref="D2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1"/>
      <c r="C1" s="601"/>
      <c r="D1" s="60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41.5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40213500</v>
      </c>
    </row>
    <row r="10" spans="2:11" ht="20.100000000000001" customHeight="1">
      <c r="B10" s="291" t="s">
        <v>1446</v>
      </c>
      <c r="C10" s="292" t="s">
        <v>9</v>
      </c>
      <c r="D10" s="298">
        <f ca="1">RAB!K65</f>
        <v>80819138.295000002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1616382.7659</v>
      </c>
    </row>
    <row r="12" spans="2:11" ht="9" customHeight="1">
      <c r="B12" s="602"/>
      <c r="C12" s="602"/>
      <c r="D12" s="602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1623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41.5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9" t="s">
        <v>1357</v>
      </c>
      <c r="C3" s="609"/>
      <c r="D3" s="609"/>
      <c r="E3" s="609"/>
      <c r="F3" s="305" t="str">
        <f>DATA!D14</f>
        <v>BADRUL ANAM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3" t="s">
        <v>1349</v>
      </c>
      <c r="C5" s="603" t="s">
        <v>1358</v>
      </c>
      <c r="D5" s="608" t="s">
        <v>1359</v>
      </c>
      <c r="E5" s="608" t="s">
        <v>1360</v>
      </c>
      <c r="F5" s="603" t="s">
        <v>1361</v>
      </c>
      <c r="G5" s="603"/>
      <c r="H5" s="603"/>
      <c r="I5" s="603"/>
      <c r="J5" s="603"/>
      <c r="K5" s="603" t="s">
        <v>1362</v>
      </c>
      <c r="L5" s="603"/>
      <c r="M5" s="307"/>
      <c r="N5" s="606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3"/>
      <c r="C6" s="603"/>
      <c r="D6" s="603"/>
      <c r="E6" s="60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3"/>
      <c r="P6" s="603"/>
      <c r="Q6" s="603"/>
      <c r="R6" s="308"/>
      <c r="S6" s="309"/>
      <c r="T6" s="603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6640</v>
      </c>
      <c r="D7" s="316">
        <f>C7*4/24</f>
        <v>1106.6666666666667</v>
      </c>
      <c r="E7" s="316">
        <f>C7-D7</f>
        <v>5533.333333333333</v>
      </c>
      <c r="F7" s="317">
        <f ca="1">DATA!D10/1000000</f>
        <v>80.819138295000002</v>
      </c>
      <c r="G7" s="318">
        <f ca="1">DATA!$D$11/1000000</f>
        <v>1.6163827659000001</v>
      </c>
      <c r="H7" s="318">
        <f>C7*DATA!$D$5/1000000</f>
        <v>7.1985903046869177</v>
      </c>
      <c r="I7" s="318">
        <f>(C7*DATA!$D$5*DATA!$D$7)/1000000</f>
        <v>0.16196828185545567</v>
      </c>
      <c r="J7" s="316">
        <f ca="1">SUM(F7:I7)</f>
        <v>89.796079647442369</v>
      </c>
      <c r="K7" s="319">
        <f>DATA!D9/1000000</f>
        <v>40.213500000000003</v>
      </c>
      <c r="L7" s="316">
        <f>((D7*DATA!$D$23)/1000000)+((E7*DATA!$D$24)/1000000)</f>
        <v>9.5928079999999998</v>
      </c>
      <c r="M7" s="316">
        <f>K7+L7</f>
        <v>49.806308000000001</v>
      </c>
      <c r="N7" s="316">
        <f ca="1">M7-J7</f>
        <v>-39.989771647442367</v>
      </c>
      <c r="O7" s="314">
        <v>1</v>
      </c>
      <c r="P7" s="316">
        <f ca="1">O7*N7</f>
        <v>-39.989771647442367</v>
      </c>
      <c r="Q7" s="316">
        <f ca="1">P7</f>
        <v>-39.989771647442367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19920</v>
      </c>
      <c r="D8" s="316">
        <f>C8*4/24</f>
        <v>3320</v>
      </c>
      <c r="E8" s="316">
        <f t="shared" ref="E8:E32" si="0">C8-D8</f>
        <v>16600</v>
      </c>
      <c r="F8" s="314"/>
      <c r="G8" s="318">
        <f ca="1">DATA!$D$11/1000000</f>
        <v>1.6163827659000001</v>
      </c>
      <c r="H8" s="318">
        <f>C8*DATA!$D$5/1000000</f>
        <v>21.595770914060758</v>
      </c>
      <c r="I8" s="318">
        <f>(C8*DATA!$D$5*DATA!$D$7)/1000000</f>
        <v>0.48590484556636704</v>
      </c>
      <c r="J8" s="316">
        <f t="shared" ref="J8:J32" ca="1" si="1">SUM(F8:I8)</f>
        <v>23.698058525527124</v>
      </c>
      <c r="K8" s="321"/>
      <c r="L8" s="316">
        <f>((D8*DATA!$D$23)/1000000)+((E8*DATA!$D$24)/1000000)</f>
        <v>28.778423999999998</v>
      </c>
      <c r="M8" s="316">
        <f t="shared" ref="M8:M32" si="2">K8+L8</f>
        <v>28.778423999999998</v>
      </c>
      <c r="N8" s="316">
        <f ca="1">M8-J8</f>
        <v>5.0803654744728739</v>
      </c>
      <c r="O8" s="315">
        <f>1/(1+'[92]Asumsi I'!$C$3)^(KKF!A8)</f>
        <v>0.89285714285714279</v>
      </c>
      <c r="P8" s="316">
        <f ca="1">O8*N8</f>
        <v>4.5360406022079225</v>
      </c>
      <c r="Q8" s="316">
        <f ca="1">Q7+P8</f>
        <v>-35.453731045234449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19920</v>
      </c>
      <c r="D9" s="316">
        <f t="shared" ref="D9:D32" si="5">C9*4/24</f>
        <v>3320</v>
      </c>
      <c r="E9" s="316">
        <f t="shared" si="0"/>
        <v>16600</v>
      </c>
      <c r="F9" s="314"/>
      <c r="G9" s="318">
        <f ca="1">DATA!$D$11/1000000</f>
        <v>1.6163827659000001</v>
      </c>
      <c r="H9" s="318">
        <f>C9*DATA!$D$5/1000000</f>
        <v>21.595770914060758</v>
      </c>
      <c r="I9" s="318">
        <f>(C9*DATA!$D$5*DATA!$D$7)/1000000</f>
        <v>0.48590484556636704</v>
      </c>
      <c r="J9" s="316">
        <f t="shared" ca="1" si="1"/>
        <v>23.698058525527124</v>
      </c>
      <c r="K9" s="316"/>
      <c r="L9" s="316">
        <f>((D9*DATA!$D$23)/1000000)+((E9*DATA!$D$24)/1000000)</f>
        <v>28.778423999999998</v>
      </c>
      <c r="M9" s="316">
        <f t="shared" si="2"/>
        <v>28.778423999999998</v>
      </c>
      <c r="N9" s="316">
        <f t="shared" ref="N9:N32" ca="1" si="6">M9-J9</f>
        <v>5.0803654744728739</v>
      </c>
      <c r="O9" s="322">
        <f>1/(1+'[92]Asumsi I'!$C$3)^(KKF!A9)</f>
        <v>0.79719387755102034</v>
      </c>
      <c r="P9" s="316">
        <f t="shared" ref="P9:P32" ca="1" si="7">O9*N9</f>
        <v>4.0500362519713597</v>
      </c>
      <c r="Q9" s="316">
        <f ca="1">Q8+P9</f>
        <v>-31.403694793263089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19920</v>
      </c>
      <c r="D10" s="316">
        <f t="shared" si="5"/>
        <v>3320</v>
      </c>
      <c r="E10" s="316">
        <f t="shared" si="0"/>
        <v>16600</v>
      </c>
      <c r="F10" s="314"/>
      <c r="G10" s="318">
        <f ca="1">DATA!$D$11/1000000</f>
        <v>1.6163827659000001</v>
      </c>
      <c r="H10" s="318">
        <f>C10*DATA!$D$5/1000000</f>
        <v>21.595770914060758</v>
      </c>
      <c r="I10" s="318">
        <f>(C10*DATA!$D$5*DATA!$D$7)/1000000</f>
        <v>0.48590484556636704</v>
      </c>
      <c r="J10" s="316">
        <f t="shared" ca="1" si="1"/>
        <v>23.698058525527124</v>
      </c>
      <c r="K10" s="314"/>
      <c r="L10" s="316">
        <f>((D10*DATA!$D$23)/1000000)+((E10*DATA!$D$24)/1000000)</f>
        <v>28.778423999999998</v>
      </c>
      <c r="M10" s="316">
        <f t="shared" si="2"/>
        <v>28.778423999999998</v>
      </c>
      <c r="N10" s="316">
        <f t="shared" ca="1" si="6"/>
        <v>5.0803654744728739</v>
      </c>
      <c r="O10" s="315">
        <f>1/(1+'[92]Asumsi I'!$C$3)^(KKF!A10)</f>
        <v>0.71178024781341087</v>
      </c>
      <c r="P10" s="316">
        <f t="shared" ca="1" si="7"/>
        <v>3.6161037964029989</v>
      </c>
      <c r="Q10" s="316">
        <f t="shared" ref="Q10:Q30" ca="1" si="9">Q9+P10</f>
        <v>-27.787590996860089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19920</v>
      </c>
      <c r="D11" s="316">
        <f t="shared" si="5"/>
        <v>3320</v>
      </c>
      <c r="E11" s="316">
        <f t="shared" si="0"/>
        <v>16600</v>
      </c>
      <c r="F11" s="314"/>
      <c r="G11" s="318">
        <f ca="1">DATA!$D$11/1000000</f>
        <v>1.6163827659000001</v>
      </c>
      <c r="H11" s="318">
        <f>C11*DATA!$D$5/1000000</f>
        <v>21.595770914060758</v>
      </c>
      <c r="I11" s="318">
        <f>(C11*DATA!$D$5*DATA!$D$7)/1000000</f>
        <v>0.48590484556636704</v>
      </c>
      <c r="J11" s="316">
        <f t="shared" ca="1" si="1"/>
        <v>23.698058525527124</v>
      </c>
      <c r="K11" s="314"/>
      <c r="L11" s="316">
        <f>((D11*DATA!$D$23)/1000000)+((E11*DATA!$D$24)/1000000)</f>
        <v>28.778423999999998</v>
      </c>
      <c r="M11" s="316">
        <f t="shared" si="2"/>
        <v>28.778423999999998</v>
      </c>
      <c r="N11" s="316">
        <f t="shared" ca="1" si="6"/>
        <v>5.0803654744728739</v>
      </c>
      <c r="O11" s="315">
        <f>1/(1+'[92]Asumsi I'!$C$3)^(KKF!A11)</f>
        <v>0.63551807840483121</v>
      </c>
      <c r="P11" s="316">
        <f t="shared" ca="1" si="7"/>
        <v>3.2286641039312496</v>
      </c>
      <c r="Q11" s="316">
        <f t="shared" ca="1" si="9"/>
        <v>-24.558926892928838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19920</v>
      </c>
      <c r="D12" s="316">
        <f t="shared" si="5"/>
        <v>3320</v>
      </c>
      <c r="E12" s="316">
        <f t="shared" si="0"/>
        <v>16600</v>
      </c>
      <c r="F12" s="314"/>
      <c r="G12" s="318">
        <f ca="1">DATA!$D$11/1000000</f>
        <v>1.6163827659000001</v>
      </c>
      <c r="H12" s="318">
        <f>C12*DATA!$D$5/1000000</f>
        <v>21.595770914060758</v>
      </c>
      <c r="I12" s="318">
        <f>(C12*DATA!$D$5*DATA!$D$7)/1000000</f>
        <v>0.48590484556636704</v>
      </c>
      <c r="J12" s="316">
        <f t="shared" ca="1" si="1"/>
        <v>23.698058525527124</v>
      </c>
      <c r="K12" s="314"/>
      <c r="L12" s="316">
        <f>((D12*DATA!$D$23)/1000000)+((E12*DATA!$D$24)/1000000)</f>
        <v>28.778423999999998</v>
      </c>
      <c r="M12" s="316">
        <f t="shared" si="2"/>
        <v>28.778423999999998</v>
      </c>
      <c r="N12" s="316">
        <f t="shared" ca="1" si="6"/>
        <v>5.0803654744728739</v>
      </c>
      <c r="O12" s="315">
        <f>1/(1+'[92]Asumsi I'!$C$3)^(KKF!A12)</f>
        <v>0.56742685571859919</v>
      </c>
      <c r="P12" s="316">
        <f t="shared" ca="1" si="7"/>
        <v>2.8827358070814721</v>
      </c>
      <c r="Q12" s="316">
        <f t="shared" ca="1" si="9"/>
        <v>-21.676191085847364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19920</v>
      </c>
      <c r="D13" s="316">
        <f t="shared" si="5"/>
        <v>3320</v>
      </c>
      <c r="E13" s="316">
        <f t="shared" si="0"/>
        <v>16600</v>
      </c>
      <c r="F13" s="314"/>
      <c r="G13" s="318">
        <f ca="1">DATA!$D$11/1000000</f>
        <v>1.6163827659000001</v>
      </c>
      <c r="H13" s="318">
        <f>C13*DATA!$D$5/1000000</f>
        <v>21.595770914060758</v>
      </c>
      <c r="I13" s="318">
        <f>(C13*DATA!$D$5*DATA!$D$7)/1000000</f>
        <v>0.48590484556636704</v>
      </c>
      <c r="J13" s="316">
        <f t="shared" ca="1" si="1"/>
        <v>23.698058525527124</v>
      </c>
      <c r="K13" s="314"/>
      <c r="L13" s="316">
        <f>((D13*DATA!$D$23)/1000000)+((E13*DATA!$D$24)/1000000)</f>
        <v>28.778423999999998</v>
      </c>
      <c r="M13" s="316">
        <f t="shared" si="2"/>
        <v>28.778423999999998</v>
      </c>
      <c r="N13" s="316">
        <f t="shared" ca="1" si="6"/>
        <v>5.0803654744728739</v>
      </c>
      <c r="O13" s="315">
        <f>1/(1+'[92]Asumsi I'!$C$3)^(KKF!A13)</f>
        <v>0.50663112117732068</v>
      </c>
      <c r="P13" s="316">
        <f t="shared" ca="1" si="7"/>
        <v>2.5738712563227426</v>
      </c>
      <c r="Q13" s="316">
        <f t="shared" ca="1" si="9"/>
        <v>-19.102319829524621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19920</v>
      </c>
      <c r="D14" s="316">
        <f t="shared" si="5"/>
        <v>3320</v>
      </c>
      <c r="E14" s="316">
        <f t="shared" si="0"/>
        <v>16600</v>
      </c>
      <c r="F14" s="314"/>
      <c r="G14" s="318">
        <f ca="1">DATA!$D$11/1000000</f>
        <v>1.6163827659000001</v>
      </c>
      <c r="H14" s="318">
        <f>C14*DATA!$D$5/1000000</f>
        <v>21.595770914060758</v>
      </c>
      <c r="I14" s="318">
        <f>(C14*DATA!$D$5*DATA!$D$7)/1000000</f>
        <v>0.48590484556636704</v>
      </c>
      <c r="J14" s="316">
        <f t="shared" ca="1" si="1"/>
        <v>23.698058525527124</v>
      </c>
      <c r="K14" s="314"/>
      <c r="L14" s="316">
        <f>((D14*DATA!$D$23)/1000000)+((E14*DATA!$D$24)/1000000)</f>
        <v>28.778423999999998</v>
      </c>
      <c r="M14" s="316">
        <f t="shared" si="2"/>
        <v>28.778423999999998</v>
      </c>
      <c r="N14" s="316">
        <f t="shared" ca="1" si="6"/>
        <v>5.0803654744728739</v>
      </c>
      <c r="O14" s="315">
        <f>1/(1+'[92]Asumsi I'!$C$3)^(KKF!A14)</f>
        <v>0.45234921533689343</v>
      </c>
      <c r="P14" s="316">
        <f t="shared" ca="1" si="7"/>
        <v>2.2980993360024486</v>
      </c>
      <c r="Q14" s="316">
        <f t="shared" ca="1" si="9"/>
        <v>-16.804220493522173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19920</v>
      </c>
      <c r="D15" s="316">
        <f t="shared" si="5"/>
        <v>3320</v>
      </c>
      <c r="E15" s="316">
        <f t="shared" si="0"/>
        <v>16600</v>
      </c>
      <c r="F15" s="314"/>
      <c r="G15" s="318">
        <f ca="1">DATA!$D$11/1000000</f>
        <v>1.6163827659000001</v>
      </c>
      <c r="H15" s="318">
        <f>C15*DATA!$D$5/1000000</f>
        <v>21.595770914060758</v>
      </c>
      <c r="I15" s="318">
        <f>(C15*DATA!$D$5*DATA!$D$7)/1000000</f>
        <v>0.48590484556636704</v>
      </c>
      <c r="J15" s="316">
        <f t="shared" ca="1" si="1"/>
        <v>23.698058525527124</v>
      </c>
      <c r="K15" s="314"/>
      <c r="L15" s="316">
        <f>((D15*DATA!$D$23)/1000000)+((E15*DATA!$D$24)/1000000)</f>
        <v>28.778423999999998</v>
      </c>
      <c r="M15" s="316">
        <f t="shared" si="2"/>
        <v>28.778423999999998</v>
      </c>
      <c r="N15" s="316">
        <f t="shared" ca="1" si="6"/>
        <v>5.0803654744728739</v>
      </c>
      <c r="O15" s="315">
        <f>1/(1+'[92]Asumsi I'!$C$3)^(KKF!A15)</f>
        <v>0.4038832279793691</v>
      </c>
      <c r="P15" s="316">
        <f t="shared" ca="1" si="7"/>
        <v>2.0518744071450432</v>
      </c>
      <c r="Q15" s="316">
        <f t="shared" ca="1" si="9"/>
        <v>-14.752346086377131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19920</v>
      </c>
      <c r="D16" s="316">
        <f t="shared" si="5"/>
        <v>3320</v>
      </c>
      <c r="E16" s="316">
        <f t="shared" si="0"/>
        <v>16600</v>
      </c>
      <c r="F16" s="314"/>
      <c r="G16" s="318">
        <f ca="1">DATA!$D$11/1000000</f>
        <v>1.6163827659000001</v>
      </c>
      <c r="H16" s="318">
        <f>C16*DATA!$D$5/1000000</f>
        <v>21.595770914060758</v>
      </c>
      <c r="I16" s="318">
        <f>(C16*DATA!$D$5*DATA!$D$7)/1000000</f>
        <v>0.48590484556636704</v>
      </c>
      <c r="J16" s="316">
        <f t="shared" ca="1" si="1"/>
        <v>23.698058525527124</v>
      </c>
      <c r="K16" s="314"/>
      <c r="L16" s="316">
        <f>((D16*DATA!$D$23)/1000000)+((E16*DATA!$D$24)/1000000)</f>
        <v>28.778423999999998</v>
      </c>
      <c r="M16" s="316">
        <f t="shared" si="2"/>
        <v>28.778423999999998</v>
      </c>
      <c r="N16" s="316">
        <f t="shared" ca="1" si="6"/>
        <v>5.0803654744728739</v>
      </c>
      <c r="O16" s="315">
        <f>1/(1+'[92]Asumsi I'!$C$3)^(KKF!A16)</f>
        <v>0.36061002498157957</v>
      </c>
      <c r="P16" s="316">
        <f t="shared" ca="1" si="7"/>
        <v>1.8320307206652173</v>
      </c>
      <c r="Q16" s="316">
        <f t="shared" ca="1" si="9"/>
        <v>-12.920315365711913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19920</v>
      </c>
      <c r="D17" s="316">
        <f t="shared" si="5"/>
        <v>3320</v>
      </c>
      <c r="E17" s="316">
        <f t="shared" si="0"/>
        <v>16600</v>
      </c>
      <c r="F17" s="314"/>
      <c r="G17" s="318">
        <f ca="1">DATA!$D$11/1000000</f>
        <v>1.6163827659000001</v>
      </c>
      <c r="H17" s="318">
        <f>C17*DATA!$D$5/1000000</f>
        <v>21.595770914060758</v>
      </c>
      <c r="I17" s="318">
        <f>(C17*DATA!$D$5*DATA!$D$7)/1000000</f>
        <v>0.48590484556636704</v>
      </c>
      <c r="J17" s="316">
        <f t="shared" ca="1" si="1"/>
        <v>23.698058525527124</v>
      </c>
      <c r="K17" s="314"/>
      <c r="L17" s="316">
        <f>((D17*DATA!$D$23)/1000000)+((E17*DATA!$D$24)/1000000)</f>
        <v>28.778423999999998</v>
      </c>
      <c r="M17" s="316">
        <f t="shared" si="2"/>
        <v>28.778423999999998</v>
      </c>
      <c r="N17" s="316">
        <f t="shared" ca="1" si="6"/>
        <v>5.0803654744728739</v>
      </c>
      <c r="O17" s="315">
        <f>1/(1+'[92]Asumsi I'!$C$3)^(KKF!A17)</f>
        <v>0.32197323659069599</v>
      </c>
      <c r="P17" s="316">
        <f t="shared" ca="1" si="7"/>
        <v>1.635741714879658</v>
      </c>
      <c r="Q17" s="316">
        <f t="shared" ca="1" si="9"/>
        <v>-11.284573650832254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19920</v>
      </c>
      <c r="D18" s="316">
        <f t="shared" si="5"/>
        <v>3320</v>
      </c>
      <c r="E18" s="316">
        <f t="shared" si="0"/>
        <v>16600</v>
      </c>
      <c r="F18" s="314"/>
      <c r="G18" s="318">
        <f ca="1">DATA!$D$11/1000000</f>
        <v>1.6163827659000001</v>
      </c>
      <c r="H18" s="318">
        <f>C18*DATA!$D$5/1000000</f>
        <v>21.595770914060758</v>
      </c>
      <c r="I18" s="318">
        <f>(C18*DATA!$D$5*DATA!$D$7)/1000000</f>
        <v>0.48590484556636704</v>
      </c>
      <c r="J18" s="316">
        <f t="shared" ca="1" si="1"/>
        <v>23.698058525527124</v>
      </c>
      <c r="K18" s="314"/>
      <c r="L18" s="316">
        <f>((D18*DATA!$D$23)/1000000)+((E18*DATA!$D$24)/1000000)</f>
        <v>28.778423999999998</v>
      </c>
      <c r="M18" s="316">
        <f t="shared" si="2"/>
        <v>28.778423999999998</v>
      </c>
      <c r="N18" s="316">
        <f t="shared" ca="1" si="6"/>
        <v>5.0803654744728739</v>
      </c>
      <c r="O18" s="315">
        <f>1/(1+'[92]Asumsi I'!$C$3)^(KKF!A18)</f>
        <v>0.28747610409883567</v>
      </c>
      <c r="P18" s="316">
        <f t="shared" ca="1" si="7"/>
        <v>1.4604836739996945</v>
      </c>
      <c r="Q18" s="316">
        <f t="shared" ca="1" si="9"/>
        <v>-9.8240899768325587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19920</v>
      </c>
      <c r="D19" s="316">
        <f t="shared" si="5"/>
        <v>3320</v>
      </c>
      <c r="E19" s="316">
        <f t="shared" si="0"/>
        <v>16600</v>
      </c>
      <c r="F19" s="314"/>
      <c r="G19" s="318">
        <f ca="1">DATA!$D$11/1000000</f>
        <v>1.6163827659000001</v>
      </c>
      <c r="H19" s="318">
        <f>C19*DATA!$D$5/1000000</f>
        <v>21.595770914060758</v>
      </c>
      <c r="I19" s="318">
        <f>(C19*DATA!$D$5*DATA!$D$7)/1000000</f>
        <v>0.48590484556636704</v>
      </c>
      <c r="J19" s="316">
        <f t="shared" ca="1" si="1"/>
        <v>23.698058525527124</v>
      </c>
      <c r="K19" s="314"/>
      <c r="L19" s="316">
        <f>((D19*DATA!$D$23)/1000000)+((E19*DATA!$D$24)/1000000)</f>
        <v>28.778423999999998</v>
      </c>
      <c r="M19" s="316">
        <f t="shared" si="2"/>
        <v>28.778423999999998</v>
      </c>
      <c r="N19" s="316">
        <f t="shared" ca="1" si="6"/>
        <v>5.0803654744728739</v>
      </c>
      <c r="O19" s="315">
        <f>1/(1+'[92]Asumsi I'!$C$3)^(KKF!A19)</f>
        <v>0.25667509294538904</v>
      </c>
      <c r="P19" s="316">
        <f t="shared" ca="1" si="7"/>
        <v>1.3040032803568704</v>
      </c>
      <c r="Q19" s="316">
        <f t="shared" ca="1" si="9"/>
        <v>-8.5200866964756887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19920</v>
      </c>
      <c r="D20" s="316">
        <f t="shared" si="5"/>
        <v>3320</v>
      </c>
      <c r="E20" s="316">
        <f t="shared" si="0"/>
        <v>16600</v>
      </c>
      <c r="F20" s="314"/>
      <c r="G20" s="318">
        <f ca="1">DATA!$D$11/1000000</f>
        <v>1.6163827659000001</v>
      </c>
      <c r="H20" s="318">
        <f>C20*DATA!$D$5/1000000</f>
        <v>21.595770914060758</v>
      </c>
      <c r="I20" s="318">
        <f>(C20*DATA!$D$5*DATA!$D$7)/1000000</f>
        <v>0.48590484556636704</v>
      </c>
      <c r="J20" s="316">
        <f t="shared" ca="1" si="1"/>
        <v>23.698058525527124</v>
      </c>
      <c r="K20" s="314"/>
      <c r="L20" s="316">
        <f>((D20*DATA!$D$23)/1000000)+((E20*DATA!$D$24)/1000000)</f>
        <v>28.778423999999998</v>
      </c>
      <c r="M20" s="316">
        <f t="shared" si="2"/>
        <v>28.778423999999998</v>
      </c>
      <c r="N20" s="316">
        <f t="shared" ca="1" si="6"/>
        <v>5.0803654744728739</v>
      </c>
      <c r="O20" s="315">
        <f>1/(1+'[92]Asumsi I'!$C$3)^(KKF!A20)</f>
        <v>0.22917419012981158</v>
      </c>
      <c r="P20" s="316">
        <f t="shared" ca="1" si="7"/>
        <v>1.1642886431757768</v>
      </c>
      <c r="Q20" s="316">
        <f t="shared" ca="1" si="9"/>
        <v>-7.3557980532999121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19920</v>
      </c>
      <c r="D21" s="316">
        <f t="shared" si="5"/>
        <v>3320</v>
      </c>
      <c r="E21" s="316">
        <f t="shared" si="0"/>
        <v>16600</v>
      </c>
      <c r="F21" s="314"/>
      <c r="G21" s="318">
        <f ca="1">DATA!$D$11/1000000</f>
        <v>1.6163827659000001</v>
      </c>
      <c r="H21" s="318">
        <f>C21*DATA!$D$5/1000000</f>
        <v>21.595770914060758</v>
      </c>
      <c r="I21" s="318">
        <f>(C21*DATA!$D$5*DATA!$D$7)/1000000</f>
        <v>0.48590484556636704</v>
      </c>
      <c r="J21" s="316">
        <f t="shared" ca="1" si="1"/>
        <v>23.698058525527124</v>
      </c>
      <c r="K21" s="314"/>
      <c r="L21" s="316">
        <f>((D21*DATA!$D$23)/1000000)+((E21*DATA!$D$24)/1000000)</f>
        <v>28.778423999999998</v>
      </c>
      <c r="M21" s="316">
        <f t="shared" si="2"/>
        <v>28.778423999999998</v>
      </c>
      <c r="N21" s="316">
        <f t="shared" ca="1" si="6"/>
        <v>5.0803654744728739</v>
      </c>
      <c r="O21" s="315">
        <f>1/(1+'[92]Asumsi I'!$C$3)^(KKF!A21)</f>
        <v>0.20461981261590317</v>
      </c>
      <c r="P21" s="316">
        <f t="shared" ca="1" si="7"/>
        <v>1.0395434314069434</v>
      </c>
      <c r="Q21" s="316">
        <f t="shared" ca="1" si="9"/>
        <v>-6.3162546218929689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19920</v>
      </c>
      <c r="D22" s="316">
        <f t="shared" si="5"/>
        <v>3320</v>
      </c>
      <c r="E22" s="316">
        <f t="shared" si="0"/>
        <v>16600</v>
      </c>
      <c r="F22" s="314"/>
      <c r="G22" s="318">
        <f ca="1">DATA!$D$11/1000000</f>
        <v>1.6163827659000001</v>
      </c>
      <c r="H22" s="318">
        <f>C22*DATA!$D$5/1000000</f>
        <v>21.595770914060758</v>
      </c>
      <c r="I22" s="318">
        <f>(C22*DATA!$D$5*DATA!$D$7)/1000000</f>
        <v>0.48590484556636704</v>
      </c>
      <c r="J22" s="316">
        <f t="shared" ca="1" si="1"/>
        <v>23.698058525527124</v>
      </c>
      <c r="K22" s="314"/>
      <c r="L22" s="316">
        <f>((D22*DATA!$D$23)/1000000)+((E22*DATA!$D$24)/1000000)</f>
        <v>28.778423999999998</v>
      </c>
      <c r="M22" s="316">
        <f t="shared" si="2"/>
        <v>28.778423999999998</v>
      </c>
      <c r="N22" s="316">
        <f t="shared" ca="1" si="6"/>
        <v>5.0803654744728739</v>
      </c>
      <c r="O22" s="315">
        <f>1/(1+'[92]Asumsi I'!$C$3)^(KKF!A22)</f>
        <v>0.18269626126419927</v>
      </c>
      <c r="P22" s="316">
        <f t="shared" ca="1" si="7"/>
        <v>0.92816377804191386</v>
      </c>
      <c r="Q22" s="316">
        <f t="shared" ca="1" si="9"/>
        <v>-5.3880908438510549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19920</v>
      </c>
      <c r="D23" s="316">
        <f t="shared" si="5"/>
        <v>3320</v>
      </c>
      <c r="E23" s="316">
        <f t="shared" si="0"/>
        <v>16600</v>
      </c>
      <c r="F23" s="314"/>
      <c r="G23" s="318">
        <f ca="1">DATA!$D$11/1000000</f>
        <v>1.6163827659000001</v>
      </c>
      <c r="H23" s="318">
        <f>C23*DATA!$D$5/1000000</f>
        <v>21.595770914060758</v>
      </c>
      <c r="I23" s="318">
        <f>(C23*DATA!$D$5*DATA!$D$7)/1000000</f>
        <v>0.48590484556636704</v>
      </c>
      <c r="J23" s="316">
        <f t="shared" ca="1" si="1"/>
        <v>23.698058525527124</v>
      </c>
      <c r="K23" s="314"/>
      <c r="L23" s="316">
        <f>((D23*DATA!$D$23)/1000000)+((E23*DATA!$D$24)/1000000)</f>
        <v>28.778423999999998</v>
      </c>
      <c r="M23" s="316">
        <f t="shared" si="2"/>
        <v>28.778423999999998</v>
      </c>
      <c r="N23" s="316">
        <f t="shared" ca="1" si="6"/>
        <v>5.0803654744728739</v>
      </c>
      <c r="O23" s="315">
        <f>1/(1+'[92]Asumsi I'!$C$3)^(KKF!A23)</f>
        <v>0.16312166184303503</v>
      </c>
      <c r="P23" s="316">
        <f t="shared" ca="1" si="7"/>
        <v>0.82871765896599436</v>
      </c>
      <c r="Q23" s="316">
        <f t="shared" ca="1" si="9"/>
        <v>-4.5593731848850609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19920</v>
      </c>
      <c r="D24" s="316">
        <f t="shared" si="5"/>
        <v>3320</v>
      </c>
      <c r="E24" s="316">
        <f t="shared" si="0"/>
        <v>16600</v>
      </c>
      <c r="F24" s="314"/>
      <c r="G24" s="318">
        <f ca="1">DATA!$D$11/1000000</f>
        <v>1.6163827659000001</v>
      </c>
      <c r="H24" s="318">
        <f>C24*DATA!$D$5/1000000</f>
        <v>21.595770914060758</v>
      </c>
      <c r="I24" s="318">
        <f>(C24*DATA!$D$5*DATA!$D$7)/1000000</f>
        <v>0.48590484556636704</v>
      </c>
      <c r="J24" s="316">
        <f t="shared" ca="1" si="1"/>
        <v>23.698058525527124</v>
      </c>
      <c r="K24" s="314"/>
      <c r="L24" s="316">
        <f>((D24*DATA!$D$23)/1000000)+((E24*DATA!$D$24)/1000000)</f>
        <v>28.778423999999998</v>
      </c>
      <c r="M24" s="316">
        <f t="shared" si="2"/>
        <v>28.778423999999998</v>
      </c>
      <c r="N24" s="316">
        <f t="shared" ca="1" si="6"/>
        <v>5.0803654744728739</v>
      </c>
      <c r="O24" s="315">
        <f>1/(1+'[92]Asumsi I'!$C$3)^(KKF!A24)</f>
        <v>0.14564434093128129</v>
      </c>
      <c r="P24" s="316">
        <f t="shared" ca="1" si="7"/>
        <v>0.73992648121963789</v>
      </c>
      <c r="Q24" s="316">
        <f t="shared" ca="1" si="9"/>
        <v>-3.8194467036654229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19920</v>
      </c>
      <c r="D25" s="316">
        <f t="shared" si="5"/>
        <v>3320</v>
      </c>
      <c r="E25" s="316">
        <f t="shared" si="0"/>
        <v>16600</v>
      </c>
      <c r="F25" s="314"/>
      <c r="G25" s="318">
        <f ca="1">DATA!$D$11/1000000</f>
        <v>1.6163827659000001</v>
      </c>
      <c r="H25" s="318">
        <f>C25*DATA!$D$5/1000000</f>
        <v>21.595770914060758</v>
      </c>
      <c r="I25" s="318">
        <f>(C25*DATA!$D$5*DATA!$D$7)/1000000</f>
        <v>0.48590484556636704</v>
      </c>
      <c r="J25" s="316">
        <f t="shared" ca="1" si="1"/>
        <v>23.698058525527124</v>
      </c>
      <c r="K25" s="314"/>
      <c r="L25" s="316">
        <f>((D25*DATA!$D$23)/1000000)+((E25*DATA!$D$24)/1000000)</f>
        <v>28.778423999999998</v>
      </c>
      <c r="M25" s="316">
        <f t="shared" si="2"/>
        <v>28.778423999999998</v>
      </c>
      <c r="N25" s="316">
        <f t="shared" ca="1" si="6"/>
        <v>5.0803654744728739</v>
      </c>
      <c r="O25" s="315">
        <f>1/(1+'[92]Asumsi I'!$C$3)^(KKF!A25)</f>
        <v>0.13003959011721541</v>
      </c>
      <c r="P25" s="316">
        <f t="shared" ca="1" si="7"/>
        <v>0.66064864394610512</v>
      </c>
      <c r="Q25" s="316">
        <f t="shared" ca="1" si="9"/>
        <v>-3.1587980597193179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19920</v>
      </c>
      <c r="D26" s="316">
        <f t="shared" si="5"/>
        <v>3320</v>
      </c>
      <c r="E26" s="316">
        <f t="shared" si="0"/>
        <v>16600</v>
      </c>
      <c r="F26" s="314"/>
      <c r="G26" s="318">
        <f ca="1">DATA!$D$11/1000000</f>
        <v>1.6163827659000001</v>
      </c>
      <c r="H26" s="318">
        <f>C26*DATA!$D$5/1000000</f>
        <v>21.595770914060758</v>
      </c>
      <c r="I26" s="318">
        <f>(C26*DATA!$D$5*DATA!$D$7)/1000000</f>
        <v>0.48590484556636704</v>
      </c>
      <c r="J26" s="316">
        <f t="shared" ca="1" si="1"/>
        <v>23.698058525527124</v>
      </c>
      <c r="K26" s="314"/>
      <c r="L26" s="316">
        <f>((D26*DATA!$D$23)/1000000)+((E26*DATA!$D$24)/1000000)</f>
        <v>28.778423999999998</v>
      </c>
      <c r="M26" s="316">
        <f t="shared" si="2"/>
        <v>28.778423999999998</v>
      </c>
      <c r="N26" s="316">
        <f t="shared" ca="1" si="6"/>
        <v>5.0803654744728739</v>
      </c>
      <c r="O26" s="315">
        <f>1/(1+'[92]Asumsi I'!$C$3)^(KKF!A26)</f>
        <v>0.1161067768903709</v>
      </c>
      <c r="P26" s="316">
        <f t="shared" ca="1" si="7"/>
        <v>0.58986486066616528</v>
      </c>
      <c r="Q26" s="316">
        <f t="shared" ca="1" si="9"/>
        <v>-2.5689331990531525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19920</v>
      </c>
      <c r="D27" s="316">
        <f t="shared" si="5"/>
        <v>3320</v>
      </c>
      <c r="E27" s="316">
        <f t="shared" si="0"/>
        <v>16600</v>
      </c>
      <c r="F27" s="314"/>
      <c r="G27" s="318">
        <f ca="1">DATA!$D$11/1000000</f>
        <v>1.6163827659000001</v>
      </c>
      <c r="H27" s="318">
        <f>C27*DATA!$D$5/1000000</f>
        <v>21.595770914060758</v>
      </c>
      <c r="I27" s="318">
        <f>(C27*DATA!$D$5*DATA!$D$7)/1000000</f>
        <v>0.48590484556636704</v>
      </c>
      <c r="J27" s="316">
        <f t="shared" ca="1" si="1"/>
        <v>23.698058525527124</v>
      </c>
      <c r="K27" s="314"/>
      <c r="L27" s="316">
        <f>((D27*DATA!$D$23)/1000000)+((E27*DATA!$D$24)/1000000)</f>
        <v>28.778423999999998</v>
      </c>
      <c r="M27" s="316">
        <f t="shared" si="2"/>
        <v>28.778423999999998</v>
      </c>
      <c r="N27" s="316">
        <f t="shared" ca="1" si="6"/>
        <v>5.0803654744728739</v>
      </c>
      <c r="O27" s="315">
        <f>1/(1+'[92]Asumsi I'!$C$3)^(KKF!A27)</f>
        <v>0.1036667650806883</v>
      </c>
      <c r="P27" s="316">
        <f t="shared" ca="1" si="7"/>
        <v>0.526665054166219</v>
      </c>
      <c r="Q27" s="316">
        <f t="shared" ca="1" si="9"/>
        <v>-2.0422681448869335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19920</v>
      </c>
      <c r="D28" s="316">
        <f t="shared" si="5"/>
        <v>3320</v>
      </c>
      <c r="E28" s="316">
        <f t="shared" si="0"/>
        <v>16600</v>
      </c>
      <c r="F28" s="314"/>
      <c r="G28" s="318">
        <f ca="1">DATA!$D$11/1000000</f>
        <v>1.6163827659000001</v>
      </c>
      <c r="H28" s="318">
        <f>C28*DATA!$D$5/1000000</f>
        <v>21.595770914060758</v>
      </c>
      <c r="I28" s="318">
        <f>(C28*DATA!$D$5*DATA!$D$7)/1000000</f>
        <v>0.48590484556636704</v>
      </c>
      <c r="J28" s="316">
        <f t="shared" ca="1" si="1"/>
        <v>23.698058525527124</v>
      </c>
      <c r="K28" s="314"/>
      <c r="L28" s="316">
        <f>((D28*DATA!$D$23)/1000000)+((E28*DATA!$D$24)/1000000)</f>
        <v>28.778423999999998</v>
      </c>
      <c r="M28" s="316">
        <f t="shared" si="2"/>
        <v>28.778423999999998</v>
      </c>
      <c r="N28" s="316">
        <f t="shared" ca="1" si="6"/>
        <v>5.0803654744728739</v>
      </c>
      <c r="O28" s="315">
        <f>1/(1+'[92]Asumsi I'!$C$3)^(KKF!A28)</f>
        <v>9.2559611679185971E-2</v>
      </c>
      <c r="P28" s="316">
        <f t="shared" ca="1" si="7"/>
        <v>0.4702366555055526</v>
      </c>
      <c r="Q28" s="316">
        <f t="shared" ca="1" si="9"/>
        <v>-1.5720314893813809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19920</v>
      </c>
      <c r="D29" s="316">
        <f t="shared" si="5"/>
        <v>3320</v>
      </c>
      <c r="E29" s="316">
        <f t="shared" si="0"/>
        <v>16600</v>
      </c>
      <c r="F29" s="314"/>
      <c r="G29" s="318">
        <f ca="1">DATA!$D$11/1000000</f>
        <v>1.6163827659000001</v>
      </c>
      <c r="H29" s="318">
        <f>C29*DATA!$D$5/1000000</f>
        <v>21.595770914060758</v>
      </c>
      <c r="I29" s="318">
        <f>(C29*DATA!$D$5*DATA!$D$7)/1000000</f>
        <v>0.48590484556636704</v>
      </c>
      <c r="J29" s="316">
        <f t="shared" ca="1" si="1"/>
        <v>23.698058525527124</v>
      </c>
      <c r="K29" s="314"/>
      <c r="L29" s="316">
        <f>((D29*DATA!$D$23)/1000000)+((E29*DATA!$D$24)/1000000)</f>
        <v>28.778423999999998</v>
      </c>
      <c r="M29" s="316">
        <f t="shared" si="2"/>
        <v>28.778423999999998</v>
      </c>
      <c r="N29" s="316">
        <f t="shared" ca="1" si="6"/>
        <v>5.0803654744728739</v>
      </c>
      <c r="O29" s="315">
        <f>1/(1+'[92]Asumsi I'!$C$3)^(KKF!A29)</f>
        <v>8.2642510427844609E-2</v>
      </c>
      <c r="P29" s="316">
        <f t="shared" ca="1" si="7"/>
        <v>0.41985415670138621</v>
      </c>
      <c r="Q29" s="316">
        <f t="shared" ca="1" si="9"/>
        <v>-1.1521773326799947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19920</v>
      </c>
      <c r="D30" s="316">
        <f t="shared" si="5"/>
        <v>3320</v>
      </c>
      <c r="E30" s="316">
        <f t="shared" si="0"/>
        <v>16600</v>
      </c>
      <c r="F30" s="314"/>
      <c r="G30" s="318">
        <f ca="1">DATA!$D$11/1000000</f>
        <v>1.6163827659000001</v>
      </c>
      <c r="H30" s="318">
        <f>C30*DATA!$D$5/1000000</f>
        <v>21.595770914060758</v>
      </c>
      <c r="I30" s="318">
        <f>(C30*DATA!$D$5*DATA!$D$7)/1000000</f>
        <v>0.48590484556636704</v>
      </c>
      <c r="J30" s="316">
        <f t="shared" ca="1" si="1"/>
        <v>23.698058525527124</v>
      </c>
      <c r="K30" s="314"/>
      <c r="L30" s="316">
        <f>((D30*DATA!$D$23)/1000000)+((E30*DATA!$D$24)/1000000)</f>
        <v>28.778423999999998</v>
      </c>
      <c r="M30" s="316">
        <f t="shared" si="2"/>
        <v>28.778423999999998</v>
      </c>
      <c r="N30" s="316">
        <f t="shared" ca="1" si="6"/>
        <v>5.0803654744728739</v>
      </c>
      <c r="O30" s="315">
        <f>1/(1+'[92]Asumsi I'!$C$3)^(KKF!A30)</f>
        <v>7.3787955739146982E-2</v>
      </c>
      <c r="P30" s="316">
        <f t="shared" ca="1" si="7"/>
        <v>0.37486978276909488</v>
      </c>
      <c r="Q30" s="316">
        <f t="shared" ca="1" si="9"/>
        <v>-0.77730754991089979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19920</v>
      </c>
      <c r="D31" s="316">
        <f t="shared" si="5"/>
        <v>3320</v>
      </c>
      <c r="E31" s="316">
        <f t="shared" si="0"/>
        <v>16600</v>
      </c>
      <c r="F31" s="314"/>
      <c r="G31" s="318">
        <f ca="1">DATA!$D$11/1000000</f>
        <v>1.6163827659000001</v>
      </c>
      <c r="H31" s="318">
        <f>C31*DATA!$D$5/1000000</f>
        <v>21.595770914060758</v>
      </c>
      <c r="I31" s="318">
        <f>(C31*DATA!$D$5*DATA!$D$7)/1000000</f>
        <v>0.48590484556636704</v>
      </c>
      <c r="J31" s="316">
        <f t="shared" ca="1" si="1"/>
        <v>23.698058525527124</v>
      </c>
      <c r="K31" s="314"/>
      <c r="L31" s="316">
        <f>((D31*DATA!$D$23)/1000000)+((E31*DATA!$D$24)/1000000)</f>
        <v>28.778423999999998</v>
      </c>
      <c r="M31" s="316">
        <f t="shared" si="2"/>
        <v>28.778423999999998</v>
      </c>
      <c r="N31" s="316">
        <f t="shared" ca="1" si="6"/>
        <v>5.0803654744728739</v>
      </c>
      <c r="O31" s="315">
        <f>1/(1+'[92]Asumsi I'!$C$3)^(KKF!A31)</f>
        <v>6.5882103338524081E-2</v>
      </c>
      <c r="P31" s="316">
        <f t="shared" ca="1" si="7"/>
        <v>0.3347051631866918</v>
      </c>
      <c r="Q31" s="316">
        <f ca="1">Q30+P31</f>
        <v>-0.44260238672420799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19920</v>
      </c>
      <c r="D32" s="316">
        <f t="shared" si="5"/>
        <v>3320</v>
      </c>
      <c r="E32" s="316">
        <f t="shared" si="0"/>
        <v>16600</v>
      </c>
      <c r="F32" s="314"/>
      <c r="G32" s="318">
        <f ca="1">DATA!$D$11/1000000</f>
        <v>1.6163827659000001</v>
      </c>
      <c r="H32" s="318">
        <f>C32*DATA!$D$5/1000000</f>
        <v>21.595770914060758</v>
      </c>
      <c r="I32" s="318">
        <f>(C32*DATA!$D$5*DATA!$D$7)/1000000</f>
        <v>0.48590484556636704</v>
      </c>
      <c r="J32" s="316">
        <f t="shared" ca="1" si="1"/>
        <v>23.698058525527124</v>
      </c>
      <c r="K32" s="314"/>
      <c r="L32" s="316">
        <f>((D32*DATA!$D$23)/1000000)+((E32*DATA!$D$24)/1000000)</f>
        <v>28.778423999999998</v>
      </c>
      <c r="M32" s="316">
        <f t="shared" si="2"/>
        <v>28.778423999999998</v>
      </c>
      <c r="N32" s="316">
        <f t="shared" ca="1" si="6"/>
        <v>5.0803654744728739</v>
      </c>
      <c r="O32" s="315">
        <f>1/(1+'[92]Asumsi I'!$C$3)^(KKF!A32)</f>
        <v>5.8823306552253637E-2</v>
      </c>
      <c r="P32" s="316">
        <f t="shared" ca="1" si="7"/>
        <v>0.29884389570240338</v>
      </c>
      <c r="Q32" s="316">
        <f ca="1">Q31+P32</f>
        <v>-0.1437584910218046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682.24754278562057</v>
      </c>
      <c r="K33" s="605" t="s">
        <v>1375</v>
      </c>
      <c r="L33" s="605"/>
      <c r="M33" s="325">
        <f>SUM(M7:M32)</f>
        <v>769.2669079999996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17.675122016051294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1.1275480815351544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-0.12835579555519694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0.11948162206470458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80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I72" sqref="I72:K72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9" t="s">
        <v>1036</v>
      </c>
      <c r="P3" s="629"/>
      <c r="Q3" s="346"/>
      <c r="T3" s="344"/>
      <c r="U3" s="345" t="s">
        <v>1041</v>
      </c>
      <c r="V3" s="344"/>
    </row>
    <row r="4" spans="1:22" ht="18.75">
      <c r="B4" s="630" t="s">
        <v>1023</v>
      </c>
      <c r="C4" s="630"/>
      <c r="D4" s="630"/>
      <c r="E4" s="630"/>
      <c r="F4" s="630"/>
      <c r="G4" s="630"/>
      <c r="H4" s="630"/>
      <c r="I4" s="630"/>
      <c r="J4" s="630"/>
      <c r="K4" s="630"/>
      <c r="O4" s="629"/>
      <c r="P4" s="62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2" t="str">
        <f>DATA!D14</f>
        <v>BADRUL ANAM</v>
      </c>
      <c r="H6" s="613"/>
      <c r="I6" s="613"/>
      <c r="J6" s="613"/>
      <c r="K6" s="61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2" t="s">
        <v>0</v>
      </c>
      <c r="C11" s="634" t="s">
        <v>1</v>
      </c>
      <c r="D11" s="623" t="s">
        <v>42</v>
      </c>
      <c r="E11" s="623" t="s">
        <v>43</v>
      </c>
      <c r="F11" s="623" t="s">
        <v>2</v>
      </c>
      <c r="G11" s="637" t="s">
        <v>41</v>
      </c>
      <c r="H11" s="623" t="s">
        <v>3</v>
      </c>
      <c r="I11" s="623"/>
      <c r="J11" s="623"/>
      <c r="K11" s="624"/>
      <c r="O11" s="351"/>
      <c r="P11" s="352"/>
      <c r="Q11" s="351"/>
      <c r="S11" s="353"/>
      <c r="T11" s="354"/>
      <c r="U11" s="354"/>
      <c r="V11" s="354"/>
    </row>
    <row r="12" spans="1:22">
      <c r="B12" s="633"/>
      <c r="C12" s="635"/>
      <c r="D12" s="627"/>
      <c r="E12" s="627"/>
      <c r="F12" s="627"/>
      <c r="G12" s="638"/>
      <c r="H12" s="625" t="s">
        <v>46</v>
      </c>
      <c r="I12" s="625" t="s">
        <v>5</v>
      </c>
      <c r="J12" s="627" t="s">
        <v>47</v>
      </c>
      <c r="K12" s="628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3"/>
      <c r="C13" s="636"/>
      <c r="D13" s="627"/>
      <c r="E13" s="627"/>
      <c r="F13" s="627"/>
      <c r="G13" s="639"/>
      <c r="H13" s="626"/>
      <c r="I13" s="626"/>
      <c r="J13" s="627"/>
      <c r="K13" s="628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2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709">
        <v>1</v>
      </c>
      <c r="C18" s="490" t="s">
        <v>1197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2">
        <f>F17*1</f>
        <v>1</v>
      </c>
      <c r="G18" s="360">
        <f ca="1">IF(ISERROR(OFFSET('HARGA SATUAN'!$I$6,MATCH(RAB!C18,'HARGA SATUAN'!$C$7:$C$1492,0),0)),0,OFFSET('HARGA SATUAN'!$I$6,MATCH(RAB!C18,'HARGA SATUAN'!$C$7:$C$1492,0),0))</f>
        <v>1427400</v>
      </c>
      <c r="H18" s="361">
        <f t="shared" ca="1" si="8"/>
        <v>1427400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1427400</v>
      </c>
    </row>
    <row r="19" spans="2:11">
      <c r="B19" s="709">
        <v>2</v>
      </c>
      <c r="C19" s="710" t="s">
        <v>514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2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709">
        <v>3</v>
      </c>
      <c r="C20" s="7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2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709">
        <v>4</v>
      </c>
      <c r="C21" s="710" t="s">
        <v>573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2">
        <v>50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ca="1" si="8"/>
        <v>0</v>
      </c>
      <c r="I21" s="361">
        <f t="shared" ca="1" si="9"/>
        <v>8244150</v>
      </c>
      <c r="J21" s="361">
        <f t="shared" ca="1" si="10"/>
        <v>0</v>
      </c>
      <c r="K21" s="362">
        <f t="shared" ca="1" si="11"/>
        <v>8244150</v>
      </c>
    </row>
    <row r="22" spans="2:11">
      <c r="B22" s="709">
        <v>5</v>
      </c>
      <c r="C22" s="7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2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12">IF(OR(D23="MDU",D23="MDU-KD"),(IF($O$3="RAB NON MDU","PLN KD",G23*F23)),0)</f>
        <v>0</v>
      </c>
      <c r="I23" s="361">
        <f t="shared" ref="I23:I43" ca="1" si="13">IF(D23="HDW",G23*F23,0)</f>
        <v>0</v>
      </c>
      <c r="J23" s="361">
        <f t="shared" ref="J23:J43" ca="1" si="14">IF(D23="JASA",G23*F23,0)</f>
        <v>0</v>
      </c>
      <c r="K23" s="362">
        <f t="shared" ref="K23:K43" ca="1" si="15">SUM(H23:J23)</f>
        <v>0</v>
      </c>
    </row>
    <row r="24" spans="2:11">
      <c r="B24" s="500" t="s">
        <v>505</v>
      </c>
      <c r="C24" s="497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4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08" t="s">
        <v>1035</v>
      </c>
      <c r="C25" s="509" t="s">
        <v>1617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2:11">
      <c r="B26" s="508">
        <v>1</v>
      </c>
      <c r="C26" s="509" t="s">
        <v>1146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F25*1</f>
        <v>1</v>
      </c>
      <c r="G26" s="360">
        <f ca="1">IF(ISERROR(OFFSET('HARGA SATUAN'!$I$6,MATCH(RAB!C26,'HARGA SATUAN'!$C$7:$C$1492,0),0)),0,OFFSET('HARGA SATUAN'!$I$6,MATCH(RAB!C26,'HARGA SATUAN'!$C$7:$C$1492,0),0))</f>
        <v>42757200</v>
      </c>
      <c r="H26" s="361">
        <f t="shared" ca="1" si="12"/>
        <v>42757200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42757200</v>
      </c>
    </row>
    <row r="27" spans="2:11">
      <c r="B27" s="503">
        <v>2</v>
      </c>
      <c r="C27" s="505" t="s">
        <v>1613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6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</row>
    <row r="28" spans="2:11">
      <c r="B28" s="508"/>
      <c r="C28" s="505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F25*(3*3)</f>
        <v>9</v>
      </c>
      <c r="G28" s="360">
        <f ca="1">IF(ISERROR(OFFSET('HARGA SATUAN'!$I$6,MATCH(RAB!C28,'HARGA SATUAN'!$C$7:$C$1492,0),0)),0,OFFSET('HARGA SATUAN'!$I$6,MATCH(RAB!C28,'HARGA SATUAN'!$C$7:$C$1492,0),0))</f>
        <v>14200</v>
      </c>
      <c r="H28" s="361">
        <f t="shared" ca="1" si="12"/>
        <v>127800</v>
      </c>
      <c r="I28" s="361">
        <f t="shared" ca="1" si="13"/>
        <v>0</v>
      </c>
      <c r="J28" s="361">
        <f t="shared" ca="1" si="14"/>
        <v>0</v>
      </c>
      <c r="K28" s="362">
        <f t="shared" ca="1" si="15"/>
        <v>127800</v>
      </c>
    </row>
    <row r="29" spans="2:11">
      <c r="B29" s="508"/>
      <c r="C29" s="505" t="s">
        <v>1614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>
        <f>F25*3</f>
        <v>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2"/>
        <v>0</v>
      </c>
      <c r="I29" s="361">
        <f t="shared" ca="1" si="13"/>
        <v>0</v>
      </c>
      <c r="J29" s="361">
        <f t="shared" ca="1" si="14"/>
        <v>0</v>
      </c>
      <c r="K29" s="362">
        <f t="shared" ca="1" si="15"/>
        <v>0</v>
      </c>
    </row>
    <row r="30" spans="2:11">
      <c r="B30" s="508">
        <v>3</v>
      </c>
      <c r="C30" s="490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F25*3</f>
        <v>3</v>
      </c>
      <c r="G30" s="360">
        <f ca="1">IF(ISERROR(OFFSET('HARGA SATUAN'!$I$6,MATCH(RAB!C30,'HARGA SATUAN'!$C$7:$C$1492,0),0)),0,OFFSET('HARGA SATUAN'!$I$6,MATCH(RAB!C30,'HARGA SATUAN'!$C$7:$C$1492,0),0))</f>
        <v>725900</v>
      </c>
      <c r="H30" s="361">
        <f t="shared" ca="1" si="12"/>
        <v>2177700</v>
      </c>
      <c r="I30" s="361">
        <f t="shared" ca="1" si="13"/>
        <v>0</v>
      </c>
      <c r="J30" s="361">
        <f t="shared" ca="1" si="14"/>
        <v>0</v>
      </c>
      <c r="K30" s="362">
        <f t="shared" ca="1" si="15"/>
        <v>2177700</v>
      </c>
    </row>
    <row r="31" spans="2:11">
      <c r="B31" s="508">
        <v>4</v>
      </c>
      <c r="C31" s="509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F25*3</f>
        <v>3</v>
      </c>
      <c r="G31" s="360">
        <f ca="1">IF(ISERROR(OFFSET('HARGA SATUAN'!$I$6,MATCH(RAB!C31,'HARGA SATUAN'!$C$7:$C$1492,0),0)),0,OFFSET('HARGA SATUAN'!$I$6,MATCH(RAB!C31,'HARGA SATUAN'!$C$7:$C$1492,0),0))</f>
        <v>848250</v>
      </c>
      <c r="H31" s="361">
        <f t="shared" ca="1" si="12"/>
        <v>2544750</v>
      </c>
      <c r="I31" s="361">
        <f t="shared" ca="1" si="13"/>
        <v>0</v>
      </c>
      <c r="J31" s="361">
        <f t="shared" ca="1" si="14"/>
        <v>0</v>
      </c>
      <c r="K31" s="362">
        <f t="shared" ca="1" si="15"/>
        <v>2544750</v>
      </c>
    </row>
    <row r="32" spans="2:11">
      <c r="B32" s="508">
        <v>5</v>
      </c>
      <c r="C32" s="509" t="s">
        <v>537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F25*3</f>
        <v>3</v>
      </c>
      <c r="G32" s="360">
        <f ca="1">IF(ISERROR(OFFSET('HARGA SATUAN'!$I$6,MATCH(RAB!C32,'HARGA SATUAN'!$C$7:$C$1492,0),0)),0,OFFSET('HARGA SATUAN'!$I$6,MATCH(RAB!C32,'HARGA SATUAN'!$C$7:$C$1492,0),0))</f>
        <v>17500</v>
      </c>
      <c r="H32" s="361">
        <f t="shared" ca="1" si="12"/>
        <v>0</v>
      </c>
      <c r="I32" s="361">
        <f t="shared" ca="1" si="13"/>
        <v>52500</v>
      </c>
      <c r="J32" s="361">
        <f t="shared" ca="1" si="14"/>
        <v>0</v>
      </c>
      <c r="K32" s="362">
        <f t="shared" ca="1" si="15"/>
        <v>52500</v>
      </c>
    </row>
    <row r="33" spans="2:11">
      <c r="B33" s="508">
        <v>6</v>
      </c>
      <c r="C33" s="109" t="s">
        <v>1565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F25*13</f>
        <v>13</v>
      </c>
      <c r="G33" s="360">
        <f ca="1">IF(ISERROR(OFFSET('HARGA SATUAN'!$I$6,MATCH(RAB!C33,'HARGA SATUAN'!$C$7:$C$1492,0),0)),0,OFFSET('HARGA SATUAN'!$I$6,MATCH(RAB!C33,'HARGA SATUAN'!$C$7:$C$1492,0),0))</f>
        <v>49000</v>
      </c>
      <c r="H33" s="361">
        <f t="shared" ref="H33" ca="1" si="16">IF(OR(D33="MDU",D33="MDU-KD"),(IF($O$3="RAB NON MDU","PLN KD",G33*F33)),0)</f>
        <v>0</v>
      </c>
      <c r="I33" s="361">
        <f t="shared" ref="I33" ca="1" si="17">IF(D33="HDW",G33*F33,0)</f>
        <v>637000</v>
      </c>
      <c r="J33" s="361">
        <f t="shared" ref="J33" ca="1" si="18">IF(D33="JASA",G33*F33,0)</f>
        <v>0</v>
      </c>
      <c r="K33" s="362">
        <f t="shared" ref="K33" ca="1" si="19">SUM(H33:J33)</f>
        <v>637000</v>
      </c>
    </row>
    <row r="34" spans="2:11">
      <c r="B34" s="508">
        <v>7</v>
      </c>
      <c r="C34" s="509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F25*22</f>
        <v>22</v>
      </c>
      <c r="G34" s="360">
        <f ca="1">IF(ISERROR(OFFSET('HARGA SATUAN'!$I$6,MATCH(RAB!C34,'HARGA SATUAN'!$C$7:$C$1492,0),0)),0,OFFSET('HARGA SATUAN'!$I$6,MATCH(RAB!C34,'HARGA SATUAN'!$C$7:$C$1492,0),0))</f>
        <v>7938</v>
      </c>
      <c r="H34" s="361">
        <f t="shared" ca="1" si="12"/>
        <v>0</v>
      </c>
      <c r="I34" s="361">
        <f t="shared" ca="1" si="13"/>
        <v>174636</v>
      </c>
      <c r="J34" s="361">
        <f t="shared" ca="1" si="14"/>
        <v>0</v>
      </c>
      <c r="K34" s="362">
        <f t="shared" ca="1" si="15"/>
        <v>174636</v>
      </c>
    </row>
    <row r="35" spans="2:11">
      <c r="B35" s="508">
        <v>8</v>
      </c>
      <c r="C35" s="509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F25*1</f>
        <v>1</v>
      </c>
      <c r="G35" s="360">
        <f ca="1">IF(ISERROR(OFFSET('HARGA SATUAN'!$I$6,MATCH(RAB!C35,'HARGA SATUAN'!$C$7:$C$1492,0),0)),0,OFFSET('HARGA SATUAN'!$I$6,MATCH(RAB!C35,'HARGA SATUAN'!$C$7:$C$1492,0),0))</f>
        <v>404600</v>
      </c>
      <c r="H35" s="361">
        <f t="shared" ca="1" si="12"/>
        <v>0</v>
      </c>
      <c r="I35" s="361">
        <f t="shared" ca="1" si="13"/>
        <v>404600</v>
      </c>
      <c r="J35" s="361">
        <f t="shared" ca="1" si="14"/>
        <v>0</v>
      </c>
      <c r="K35" s="362">
        <f t="shared" ca="1" si="15"/>
        <v>404600</v>
      </c>
    </row>
    <row r="36" spans="2:11">
      <c r="B36" s="508">
        <v>9</v>
      </c>
      <c r="C36" s="509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F25*3</f>
        <v>3</v>
      </c>
      <c r="G36" s="360">
        <f ca="1">IF(ISERROR(OFFSET('HARGA SATUAN'!$I$6,MATCH(RAB!C36,'HARGA SATUAN'!$C$7:$C$1492,0),0)),0,OFFSET('HARGA SATUAN'!$I$6,MATCH(RAB!C36,'HARGA SATUAN'!$C$7:$C$1492,0),0))</f>
        <v>15900</v>
      </c>
      <c r="H36" s="361">
        <f t="shared" ca="1" si="12"/>
        <v>0</v>
      </c>
      <c r="I36" s="361">
        <f t="shared" ca="1" si="13"/>
        <v>47700</v>
      </c>
      <c r="J36" s="361">
        <f t="shared" ca="1" si="14"/>
        <v>0</v>
      </c>
      <c r="K36" s="362">
        <f t="shared" ca="1" si="15"/>
        <v>47700</v>
      </c>
    </row>
    <row r="37" spans="2:11">
      <c r="B37" s="508">
        <v>10</v>
      </c>
      <c r="C37" s="509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F25*5</f>
        <v>5</v>
      </c>
      <c r="G37" s="360">
        <f ca="1">IF(ISERROR(OFFSET('HARGA SATUAN'!$I$6,MATCH(RAB!C37,'HARGA SATUAN'!$C$7:$C$1492,0),0)),0,OFFSET('HARGA SATUAN'!$I$6,MATCH(RAB!C37,'HARGA SATUAN'!$C$7:$C$1492,0),0))</f>
        <v>283100</v>
      </c>
      <c r="H37" s="361">
        <f t="shared" ca="1" si="12"/>
        <v>0</v>
      </c>
      <c r="I37" s="361">
        <f t="shared" ca="1" si="13"/>
        <v>1415500</v>
      </c>
      <c r="J37" s="361">
        <f t="shared" ca="1" si="14"/>
        <v>0</v>
      </c>
      <c r="K37" s="362">
        <f t="shared" ca="1" si="15"/>
        <v>1415500</v>
      </c>
    </row>
    <row r="38" spans="2:11">
      <c r="B38" s="508">
        <v>11</v>
      </c>
      <c r="C38" s="509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F25*4</f>
        <v>4</v>
      </c>
      <c r="G38" s="360">
        <f ca="1">IF(ISERROR(OFFSET('HARGA SATUAN'!$I$6,MATCH(RAB!C38,'HARGA SATUAN'!$C$7:$C$1492,0),0)),0,OFFSET('HARGA SATUAN'!$I$6,MATCH(RAB!C38,'HARGA SATUAN'!$C$7:$C$1492,0),0))</f>
        <v>380500</v>
      </c>
      <c r="H38" s="361">
        <f t="shared" ca="1" si="12"/>
        <v>0</v>
      </c>
      <c r="I38" s="361">
        <f t="shared" ca="1" si="13"/>
        <v>1522000</v>
      </c>
      <c r="J38" s="361">
        <f t="shared" ca="1" si="14"/>
        <v>0</v>
      </c>
      <c r="K38" s="362">
        <f t="shared" ca="1" si="15"/>
        <v>1522000</v>
      </c>
    </row>
    <row r="39" spans="2:11">
      <c r="B39" s="508">
        <v>12</v>
      </c>
      <c r="C39" s="509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F25*3</f>
        <v>3</v>
      </c>
      <c r="G39" s="360">
        <f ca="1">IF(ISERROR(OFFSET('HARGA SATUAN'!$I$6,MATCH(RAB!C39,'HARGA SATUAN'!$C$7:$C$1492,0),0)),0,OFFSET('HARGA SATUAN'!$I$6,MATCH(RAB!C39,'HARGA SATUAN'!$C$7:$C$1492,0),0))</f>
        <v>173400</v>
      </c>
      <c r="H39" s="361">
        <f t="shared" ca="1" si="12"/>
        <v>0</v>
      </c>
      <c r="I39" s="361">
        <f t="shared" ca="1" si="13"/>
        <v>520200</v>
      </c>
      <c r="J39" s="361">
        <f t="shared" ca="1" si="14"/>
        <v>0</v>
      </c>
      <c r="K39" s="362">
        <f t="shared" ca="1" si="15"/>
        <v>520200</v>
      </c>
    </row>
    <row r="40" spans="2:11">
      <c r="B40" s="508">
        <v>13</v>
      </c>
      <c r="C40" s="509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F25*1</f>
        <v>1</v>
      </c>
      <c r="G40" s="360">
        <f ca="1">IF(ISERROR(OFFSET('HARGA SATUAN'!$I$6,MATCH(RAB!C40,'HARGA SATUAN'!$C$7:$C$1492,0),0)),0,OFFSET('HARGA SATUAN'!$I$6,MATCH(RAB!C40,'HARGA SATUAN'!$C$7:$C$1492,0),0))</f>
        <v>57690</v>
      </c>
      <c r="H40" s="361">
        <f t="shared" ca="1" si="12"/>
        <v>0</v>
      </c>
      <c r="I40" s="361">
        <f t="shared" ca="1" si="13"/>
        <v>57690</v>
      </c>
      <c r="J40" s="361">
        <f t="shared" ca="1" si="14"/>
        <v>0</v>
      </c>
      <c r="K40" s="362">
        <f t="shared" ca="1" si="15"/>
        <v>57690</v>
      </c>
    </row>
    <row r="41" spans="2:11">
      <c r="B41" s="508">
        <v>14</v>
      </c>
      <c r="C41" s="509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F25*2</f>
        <v>2</v>
      </c>
      <c r="G41" s="360">
        <f ca="1">IF(ISERROR(OFFSET('HARGA SATUAN'!$I$6,MATCH(RAB!C41,'HARGA SATUAN'!$C$7:$C$1492,0),0)),0,OFFSET('HARGA SATUAN'!$I$6,MATCH(RAB!C41,'HARGA SATUAN'!$C$7:$C$1492,0),0))</f>
        <v>67500</v>
      </c>
      <c r="H41" s="361">
        <f t="shared" ca="1" si="12"/>
        <v>0</v>
      </c>
      <c r="I41" s="361">
        <f t="shared" ca="1" si="13"/>
        <v>135000</v>
      </c>
      <c r="J41" s="361">
        <f t="shared" ca="1" si="14"/>
        <v>0</v>
      </c>
      <c r="K41" s="362">
        <f t="shared" ca="1" si="15"/>
        <v>135000</v>
      </c>
    </row>
    <row r="42" spans="2:11">
      <c r="B42" s="508">
        <v>15</v>
      </c>
      <c r="C42" s="509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F25*2</f>
        <v>2</v>
      </c>
      <c r="G42" s="360">
        <f ca="1">IF(ISERROR(OFFSET('HARGA SATUAN'!$I$6,MATCH(RAB!C42,'HARGA SATUAN'!$C$7:$C$1492,0),0)),0,OFFSET('HARGA SATUAN'!$I$6,MATCH(RAB!C42,'HARGA SATUAN'!$C$7:$C$1492,0),0))</f>
        <v>129000</v>
      </c>
      <c r="H42" s="361">
        <f t="shared" ca="1" si="12"/>
        <v>0</v>
      </c>
      <c r="I42" s="361">
        <f t="shared" ca="1" si="13"/>
        <v>258000</v>
      </c>
      <c r="J42" s="361">
        <f t="shared" ca="1" si="14"/>
        <v>0</v>
      </c>
      <c r="K42" s="362">
        <f t="shared" ca="1" si="15"/>
        <v>258000</v>
      </c>
    </row>
    <row r="43" spans="2:11">
      <c r="B43" s="508">
        <v>16</v>
      </c>
      <c r="C43" s="509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F25*4</f>
        <v>4</v>
      </c>
      <c r="G43" s="360">
        <f ca="1">IF(ISERROR(OFFSET('HARGA SATUAN'!$I$6,MATCH(RAB!C43,'HARGA SATUAN'!$C$7:$C$1492,0),0)),0,OFFSET('HARGA SATUAN'!$I$6,MATCH(RAB!C43,'HARGA SATUAN'!$C$7:$C$1492,0),0))</f>
        <v>250000</v>
      </c>
      <c r="H43" s="361">
        <f t="shared" ca="1" si="12"/>
        <v>0</v>
      </c>
      <c r="I43" s="361">
        <f t="shared" ca="1" si="13"/>
        <v>1000000</v>
      </c>
      <c r="J43" s="361">
        <f t="shared" ca="1" si="14"/>
        <v>0</v>
      </c>
      <c r="K43" s="362">
        <f t="shared" ca="1" si="15"/>
        <v>1000000</v>
      </c>
    </row>
    <row r="44" spans="2:11">
      <c r="B44" s="508">
        <v>17</v>
      </c>
      <c r="C44" s="509" t="s">
        <v>783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F25*1</f>
        <v>1</v>
      </c>
      <c r="G44" s="360">
        <f ca="1">IF(ISERROR(OFFSET('HARGA SATUAN'!$I$6,MATCH(RAB!C44,'HARGA SATUAN'!$C$7:$C$1492,0),0)),0,OFFSET('HARGA SATUAN'!$I$6,MATCH(RAB!C44,'HARGA SATUAN'!$C$7:$C$1492,0),0))</f>
        <v>1182800</v>
      </c>
      <c r="H44" s="361">
        <f t="shared" ref="H44" ca="1" si="20">IF(OR(D44="MDU",D44="MDU-KD"),(IF($O$3="RAB NON MDU","PLN KD",G44*F44)),0)</f>
        <v>0</v>
      </c>
      <c r="I44" s="361">
        <f t="shared" ref="I44" ca="1" si="21">IF(D44="HDW",G44*F44,0)</f>
        <v>0</v>
      </c>
      <c r="J44" s="361">
        <f t="shared" ref="J44" ca="1" si="22">IF(D44="JASA",G44*F44,0)</f>
        <v>1182800</v>
      </c>
      <c r="K44" s="362">
        <f t="shared" ref="K44" ca="1" si="23">SUM(H44:J44)</f>
        <v>1182800</v>
      </c>
    </row>
    <row r="45" spans="2:11">
      <c r="B45" s="500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" ca="1" si="24">IF(OR(D45="MDU",D45="MDU-KD"),(IF($O$3="RAB NON MDU","PLN KD",G45*F45)),0)</f>
        <v>0</v>
      </c>
      <c r="I45" s="361">
        <f t="shared" ref="I45" ca="1" si="25">IF(D45="HDW",G45*F45,0)</f>
        <v>0</v>
      </c>
      <c r="J45" s="361">
        <f t="shared" ref="J45" ca="1" si="26">IF(D45="JASA",G45*F45,0)</f>
        <v>0</v>
      </c>
      <c r="K45" s="362">
        <f t="shared" ref="K45" ca="1" si="27">SUM(H45:J45)</f>
        <v>0</v>
      </c>
    </row>
    <row r="46" spans="2:11">
      <c r="B46" s="500" t="s">
        <v>524</v>
      </c>
      <c r="C46" s="497" t="s">
        <v>1618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" ca="1" si="28">IF(OR(D46="MDU",D46="MDU-KD"),(IF($O$3="RAB NON MDU","PLN KD",G46*F46)),0)</f>
        <v>0</v>
      </c>
      <c r="I46" s="361">
        <f t="shared" ref="I46" ca="1" si="29">IF(D46="HDW",G46*F46,0)</f>
        <v>0</v>
      </c>
      <c r="J46" s="361">
        <f t="shared" ref="J46" ca="1" si="30">IF(D46="JASA",G46*F46,0)</f>
        <v>0</v>
      </c>
      <c r="K46" s="362">
        <f t="shared" ref="K46" ca="1" si="31">SUM(H46:J46)</f>
        <v>0</v>
      </c>
    </row>
    <row r="47" spans="2:11">
      <c r="B47" s="503" t="s">
        <v>1035</v>
      </c>
      <c r="C47" s="512" t="s">
        <v>1619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v>2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58" ca="1" si="32">IF(OR(D47="MDU",D47="MDU-KD"),(IF($O$3="RAB NON MDU","PLN KD",G47*F47)),0)</f>
        <v>0</v>
      </c>
      <c r="I47" s="361">
        <f t="shared" ref="I47:I58" ca="1" si="33">IF(D47="HDW",G47*F47,0)</f>
        <v>0</v>
      </c>
      <c r="J47" s="361">
        <f t="shared" ref="J47:J58" ca="1" si="34">IF(D47="JASA",G47*F47,0)</f>
        <v>0</v>
      </c>
      <c r="K47" s="362">
        <f t="shared" ref="K47:K58" ca="1" si="35">SUM(H47:J47)</f>
        <v>0</v>
      </c>
    </row>
    <row r="48" spans="2:11">
      <c r="B48" s="503">
        <v>1</v>
      </c>
      <c r="C48" s="511" t="s">
        <v>29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F47*1</f>
        <v>2</v>
      </c>
      <c r="G48" s="360">
        <f ca="1">IF(ISERROR(OFFSET('HARGA SATUAN'!$I$6,MATCH(RAB!C48,'HARGA SATUAN'!$C$7:$C$1492,0),0)),0,OFFSET('HARGA SATUAN'!$I$6,MATCH(RAB!C48,'HARGA SATUAN'!$C$7:$C$1492,0),0))</f>
        <v>185200</v>
      </c>
      <c r="H48" s="361">
        <f t="shared" ca="1" si="32"/>
        <v>0</v>
      </c>
      <c r="I48" s="361">
        <f t="shared" ca="1" si="33"/>
        <v>370400</v>
      </c>
      <c r="J48" s="361">
        <f t="shared" ca="1" si="34"/>
        <v>0</v>
      </c>
      <c r="K48" s="362">
        <f t="shared" ca="1" si="35"/>
        <v>370400</v>
      </c>
    </row>
    <row r="49" spans="2:11">
      <c r="B49" s="508">
        <v>2</v>
      </c>
      <c r="C49" s="509" t="s">
        <v>30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F47*1</f>
        <v>2</v>
      </c>
      <c r="G49" s="360">
        <f ca="1">IF(ISERROR(OFFSET('HARGA SATUAN'!$I$6,MATCH(RAB!C49,'HARGA SATUAN'!$C$7:$C$1492,0),0)),0,OFFSET('HARGA SATUAN'!$I$6,MATCH(RAB!C49,'HARGA SATUAN'!$C$7:$C$1492,0),0))</f>
        <v>47459</v>
      </c>
      <c r="H49" s="361">
        <f t="shared" ca="1" si="32"/>
        <v>0</v>
      </c>
      <c r="I49" s="361">
        <f t="shared" ca="1" si="33"/>
        <v>94918</v>
      </c>
      <c r="J49" s="361">
        <f t="shared" ca="1" si="34"/>
        <v>0</v>
      </c>
      <c r="K49" s="362">
        <f t="shared" ca="1" si="35"/>
        <v>94918</v>
      </c>
    </row>
    <row r="50" spans="2:11">
      <c r="B50" s="508">
        <v>3</v>
      </c>
      <c r="C50" s="509" t="s">
        <v>31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F47*1</f>
        <v>2</v>
      </c>
      <c r="G50" s="360">
        <f ca="1">IF(ISERROR(OFFSET('HARGA SATUAN'!$I$6,MATCH(RAB!C50,'HARGA SATUAN'!$C$7:$C$1492,0),0)),0,OFFSET('HARGA SATUAN'!$I$6,MATCH(RAB!C50,'HARGA SATUAN'!$C$7:$C$1492,0),0))</f>
        <v>4880</v>
      </c>
      <c r="H50" s="361">
        <f t="shared" ca="1" si="32"/>
        <v>0</v>
      </c>
      <c r="I50" s="361">
        <f t="shared" ca="1" si="33"/>
        <v>9760</v>
      </c>
      <c r="J50" s="361">
        <f t="shared" ca="1" si="34"/>
        <v>0</v>
      </c>
      <c r="K50" s="362">
        <f t="shared" ca="1" si="35"/>
        <v>9760</v>
      </c>
    </row>
    <row r="51" spans="2:11">
      <c r="B51" s="508">
        <v>4</v>
      </c>
      <c r="C51" s="509" t="s">
        <v>32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F47*10</f>
        <v>20</v>
      </c>
      <c r="G51" s="360">
        <f ca="1">IF(ISERROR(OFFSET('HARGA SATUAN'!$I$6,MATCH(RAB!C51,'HARGA SATUAN'!$C$7:$C$1492,0),0)),0,OFFSET('HARGA SATUAN'!$I$6,MATCH(RAB!C51,'HARGA SATUAN'!$C$7:$C$1492,0),0))</f>
        <v>30000</v>
      </c>
      <c r="H51" s="361">
        <f t="shared" ca="1" si="32"/>
        <v>0</v>
      </c>
      <c r="I51" s="361">
        <f t="shared" ca="1" si="33"/>
        <v>600000</v>
      </c>
      <c r="J51" s="361">
        <f t="shared" ca="1" si="34"/>
        <v>0</v>
      </c>
      <c r="K51" s="362">
        <f t="shared" ca="1" si="35"/>
        <v>600000</v>
      </c>
    </row>
    <row r="52" spans="2:11">
      <c r="B52" s="508">
        <v>5</v>
      </c>
      <c r="C52" s="509" t="s">
        <v>33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F47*2</f>
        <v>4</v>
      </c>
      <c r="G52" s="360">
        <f ca="1">IF(ISERROR(OFFSET('HARGA SATUAN'!$I$6,MATCH(RAB!C52,'HARGA SATUAN'!$C$7:$C$1492,0),0)),0,OFFSET('HARGA SATUAN'!$I$6,MATCH(RAB!C52,'HARGA SATUAN'!$C$7:$C$1492,0),0))</f>
        <v>9500</v>
      </c>
      <c r="H52" s="361">
        <f t="shared" ca="1" si="32"/>
        <v>0</v>
      </c>
      <c r="I52" s="361">
        <f t="shared" ca="1" si="33"/>
        <v>38000</v>
      </c>
      <c r="J52" s="361">
        <f t="shared" ca="1" si="34"/>
        <v>0</v>
      </c>
      <c r="K52" s="362">
        <f t="shared" ca="1" si="35"/>
        <v>38000</v>
      </c>
    </row>
    <row r="53" spans="2:11">
      <c r="B53" s="508">
        <v>6</v>
      </c>
      <c r="C53" s="509" t="s">
        <v>34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F47*5.5</f>
        <v>11</v>
      </c>
      <c r="G53" s="360">
        <f ca="1">IF(ISERROR(OFFSET('HARGA SATUAN'!$I$6,MATCH(RAB!C53,'HARGA SATUAN'!$C$7:$C$1492,0),0)),0,OFFSET('HARGA SATUAN'!$I$6,MATCH(RAB!C53,'HARGA SATUAN'!$C$7:$C$1492,0),0))</f>
        <v>6100</v>
      </c>
      <c r="H53" s="361">
        <f t="shared" ca="1" si="32"/>
        <v>0</v>
      </c>
      <c r="I53" s="361">
        <f t="shared" ca="1" si="33"/>
        <v>67100</v>
      </c>
      <c r="J53" s="361">
        <f t="shared" ca="1" si="34"/>
        <v>0</v>
      </c>
      <c r="K53" s="362">
        <f t="shared" ca="1" si="35"/>
        <v>67100</v>
      </c>
    </row>
    <row r="54" spans="2:11">
      <c r="B54" s="508">
        <v>7</v>
      </c>
      <c r="C54" s="509" t="s">
        <v>35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F47*6</f>
        <v>12</v>
      </c>
      <c r="G54" s="360">
        <f ca="1">IF(ISERROR(OFFSET('HARGA SATUAN'!$I$6,MATCH(RAB!C54,'HARGA SATUAN'!$C$7:$C$1492,0),0)),0,OFFSET('HARGA SATUAN'!$I$6,MATCH(RAB!C54,'HARGA SATUAN'!$C$7:$C$1492,0),0))</f>
        <v>2300</v>
      </c>
      <c r="H54" s="361">
        <f t="shared" ca="1" si="32"/>
        <v>0</v>
      </c>
      <c r="I54" s="361">
        <f t="shared" ca="1" si="33"/>
        <v>27600</v>
      </c>
      <c r="J54" s="361">
        <f t="shared" ca="1" si="34"/>
        <v>0</v>
      </c>
      <c r="K54" s="362">
        <f t="shared" ca="1" si="35"/>
        <v>27600</v>
      </c>
    </row>
    <row r="55" spans="2:11">
      <c r="B55" s="508">
        <v>8</v>
      </c>
      <c r="C55" s="509" t="s">
        <v>1620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Mtr</v>
      </c>
      <c r="F55" s="501">
        <f>F47*4.8</f>
        <v>9.6</v>
      </c>
      <c r="G55" s="360">
        <f ca="1">IF(ISERROR(OFFSET('HARGA SATUAN'!$I$6,MATCH(RAB!C55,'HARGA SATUAN'!$C$7:$C$1492,0),0)),0,OFFSET('HARGA SATUAN'!$I$6,MATCH(RAB!C55,'HARGA SATUAN'!$C$7:$C$1492,0),0))</f>
        <v>23310</v>
      </c>
      <c r="H55" s="361">
        <f t="shared" ca="1" si="32"/>
        <v>0</v>
      </c>
      <c r="I55" s="361">
        <f t="shared" ca="1" si="33"/>
        <v>223776</v>
      </c>
      <c r="J55" s="361">
        <f t="shared" ca="1" si="34"/>
        <v>0</v>
      </c>
      <c r="K55" s="362">
        <f t="shared" ca="1" si="35"/>
        <v>223776</v>
      </c>
    </row>
    <row r="56" spans="2:11">
      <c r="B56" s="508">
        <v>9</v>
      </c>
      <c r="C56" s="509" t="s">
        <v>736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F47*1</f>
        <v>2</v>
      </c>
      <c r="G56" s="360">
        <f ca="1">IF(ISERROR(OFFSET('HARGA SATUAN'!$I$6,MATCH(RAB!C56,'HARGA SATUAN'!$C$7:$C$1492,0),0)),0,OFFSET('HARGA SATUAN'!$I$6,MATCH(RAB!C56,'HARGA SATUAN'!$C$7:$C$1492,0),0))</f>
        <v>65400</v>
      </c>
      <c r="H56" s="361">
        <f t="shared" ca="1" si="32"/>
        <v>0</v>
      </c>
      <c r="I56" s="361">
        <f t="shared" ca="1" si="33"/>
        <v>0</v>
      </c>
      <c r="J56" s="361">
        <f t="shared" ca="1" si="34"/>
        <v>130800</v>
      </c>
      <c r="K56" s="362">
        <f t="shared" ca="1" si="35"/>
        <v>130800</v>
      </c>
    </row>
    <row r="57" spans="2:11">
      <c r="B57" s="508"/>
      <c r="C57" s="509"/>
      <c r="D57" s="358"/>
      <c r="E57" s="359"/>
      <c r="F57" s="501"/>
      <c r="G57" s="360"/>
      <c r="H57" s="361"/>
      <c r="I57" s="361"/>
      <c r="J57" s="361"/>
      <c r="K57" s="362"/>
    </row>
    <row r="58" spans="2:11">
      <c r="B58" s="367"/>
      <c r="C58" s="109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32"/>
        <v>0</v>
      </c>
      <c r="I58" s="361">
        <f t="shared" ca="1" si="33"/>
        <v>0</v>
      </c>
      <c r="J58" s="361">
        <f t="shared" ca="1" si="34"/>
        <v>0</v>
      </c>
      <c r="K58" s="362">
        <f t="shared" ca="1" si="35"/>
        <v>0</v>
      </c>
    </row>
    <row r="59" spans="2:11">
      <c r="B59" s="368"/>
      <c r="C59" s="369" t="s">
        <v>475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72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ref="H59" ca="1" si="36">IF(OR(D59="MDU",D59="MDU-KD"),(IF($O$3="RAB NON MDU","PLN KD",G59*F59)),0)</f>
        <v>0</v>
      </c>
      <c r="I59" s="361">
        <f t="shared" ref="I59" ca="1" si="37">IF(D59="HDW",G59*F59,0)</f>
        <v>0</v>
      </c>
      <c r="J59" s="361">
        <f t="shared" ref="J59" ca="1" si="38">IF(D59="JASA",G59*F59,0)</f>
        <v>0</v>
      </c>
      <c r="K59" s="362">
        <f t="shared" ref="K59" ca="1" si="39">SUM(H59:J59)</f>
        <v>0</v>
      </c>
    </row>
    <row r="60" spans="2:11">
      <c r="B60" s="371">
        <v>1</v>
      </c>
      <c r="C60" s="372" t="s">
        <v>1091</v>
      </c>
      <c r="D60" s="373" t="str">
        <f ca="1">IF(ISERROR(OFFSET('HARGA SATUAN'!$D$6,MATCH(RAB!C60,'HARGA SATUAN'!$C$7:$C$1492,0),0)),"",OFFSET('HARGA SATUAN'!$D$6,MATCH(RAB!C60,'HARGA SATUAN'!$C$7:$C$1492,0),0))</f>
        <v>JASA</v>
      </c>
      <c r="E60" s="374" t="str">
        <f ca="1">IF(ISERROR(OFFSET('HARGA SATUAN'!$E$6,MATCH(RAB!C60,'HARGA SATUAN'!$C$7:$C$1492,0),0)),"",OFFSET('HARGA SATUAN'!$E$6,MATCH(RAB!C60,'HARGA SATUAN'!$C$7:$C$1492,0),0))</f>
        <v>Lot</v>
      </c>
      <c r="F60" s="375">
        <v>1</v>
      </c>
      <c r="G60" s="376">
        <f ca="1">IF(ISERROR(OFFSET('HARGA SATUAN'!$I$6,MATCH(RAB!C60,'HARGA SATUAN'!$C$7:$C$1492,0),0)),0,OFFSET('HARGA SATUAN'!$I$6,MATCH(RAB!C60,'HARGA SATUAN'!$C$7:$C$1492,0),0))</f>
        <v>2.5000000000000001E-2</v>
      </c>
      <c r="H60" s="377"/>
      <c r="I60" s="377"/>
      <c r="J60" s="377">
        <f ca="1">2.5%*(SUM(K14:K59))</f>
        <v>1775854.5</v>
      </c>
      <c r="K60" s="378">
        <f ca="1">SUM(H60:J60)</f>
        <v>1775854.5</v>
      </c>
    </row>
    <row r="61" spans="2:11">
      <c r="B61" s="379"/>
      <c r="C61" s="380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IF(ISERROR(OFFSET('HARGA SATUAN'!$E$6,MATCH(RAB!C61,'HARGA SATUAN'!$C$7:$C$1492,0),0)),"",OFFSET('HARGA SATUAN'!$E$6,MATCH(RAB!C61,'HARGA SATUAN'!$C$7:$C$1492,0),0))</f>
        <v/>
      </c>
      <c r="F61" s="370"/>
      <c r="G61" s="360" t="str">
        <f ca="1">IF(ISERROR(OFFSET('HARGA SATUAN'!$I$6,MATCH(RAB!C61,'HARGA SATUAN'!$C$7:$C$1492,0),0)),"",OFFSET('HARGA SATUAN'!$I$6,MATCH(RAB!C61,'HARGA SATUAN'!$C$7:$C$1492,0),0))</f>
        <v/>
      </c>
      <c r="H61" s="361">
        <f ca="1">IF(OR(D61="MDU",D61="MDU-KD"),IF(G61="PLN",0,G61*F61),0)</f>
        <v>0</v>
      </c>
      <c r="I61" s="361">
        <f ca="1">IF(D61="HDW",IF(G61="PLN",0,G61*F61),0)</f>
        <v>0</v>
      </c>
      <c r="J61" s="361">
        <f ca="1">IF(D61="JASA",IF(G61="PLN",0,G61*F61),0)</f>
        <v>0</v>
      </c>
      <c r="K61" s="362">
        <f ca="1">SUM(H61:J61)</f>
        <v>0</v>
      </c>
    </row>
    <row r="62" spans="2:11" ht="15.75" thickBot="1">
      <c r="B62" s="381"/>
      <c r="C62" s="382"/>
      <c r="D62" s="383"/>
      <c r="E62" s="384"/>
      <c r="F62" s="384"/>
      <c r="G62" s="384"/>
      <c r="H62" s="385"/>
      <c r="I62" s="385"/>
      <c r="J62" s="385"/>
      <c r="K62" s="386"/>
    </row>
    <row r="63" spans="2:11">
      <c r="B63" s="387"/>
      <c r="C63" s="631" t="s">
        <v>1008</v>
      </c>
      <c r="D63" s="631"/>
      <c r="E63" s="631"/>
      <c r="F63" s="631"/>
      <c r="G63" s="388" t="s">
        <v>9</v>
      </c>
      <c r="H63" s="389">
        <f ca="1">SUM(H14:H61)</f>
        <v>52599750</v>
      </c>
      <c r="I63" s="389">
        <f ca="1">SUM(I14:I61)</f>
        <v>17014430</v>
      </c>
      <c r="J63" s="389">
        <f ca="1">SUM(J14:J61)</f>
        <v>3195854.5</v>
      </c>
      <c r="K63" s="389">
        <f ca="1">SUM(K14:K61)</f>
        <v>72810034.5</v>
      </c>
    </row>
    <row r="64" spans="2:11">
      <c r="B64" s="390"/>
      <c r="C64" s="614" t="s">
        <v>1457</v>
      </c>
      <c r="D64" s="614"/>
      <c r="E64" s="614"/>
      <c r="F64" s="614"/>
      <c r="G64" s="391" t="s">
        <v>9</v>
      </c>
      <c r="H64" s="392">
        <f ca="1">H63*0.11</f>
        <v>5785972.5</v>
      </c>
      <c r="I64" s="392">
        <f ca="1">I63*0.11</f>
        <v>1871587.3</v>
      </c>
      <c r="J64" s="392">
        <f ca="1">J63*0.11</f>
        <v>351543.995</v>
      </c>
      <c r="K64" s="392">
        <f ca="1">K63*0.11</f>
        <v>8009103.7949999999</v>
      </c>
    </row>
    <row r="65" spans="2:13" ht="15.75" thickBot="1">
      <c r="B65" s="390"/>
      <c r="C65" s="611" t="s">
        <v>463</v>
      </c>
      <c r="D65" s="611"/>
      <c r="E65" s="611"/>
      <c r="F65" s="611"/>
      <c r="G65" s="393" t="s">
        <v>9</v>
      </c>
      <c r="H65" s="394">
        <f ca="1">SUM(H63:H64)</f>
        <v>58385722.5</v>
      </c>
      <c r="I65" s="394">
        <f ca="1">SUM(I63:I64)</f>
        <v>18886017.300000001</v>
      </c>
      <c r="J65" s="393">
        <f ca="1">SUM(J63:J64)</f>
        <v>3547398.4950000001</v>
      </c>
      <c r="K65" s="393">
        <f ca="1">SUM(K63:K64)</f>
        <v>80819138.295000002</v>
      </c>
      <c r="M65" s="477"/>
    </row>
    <row r="66" spans="2:13">
      <c r="B66" s="615" t="str">
        <f ca="1">"Terbilang : "&amp;PROPER(IF(K65=0,"nol",IF(K65&lt;0,"minus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IF(--MID(TEXT(ABS(K65),"000000000000000"),1,3)=0,"",MID(TEXT(ABS(K65),"000000000000000"),1,1)&amp;" ratus "&amp;MID(TEXT(ABS(K65),"000000000000000"),2,1)&amp;" puluh "&amp;MID(TEXT(ABS(K65),"000000000000000"),3,1)&amp;" trilyun ")&amp; IF(--MID(TEXT(ABS(K65),"000000000000000"),4,3)=0,"",MID(TEXT(ABS(K65),"000000000000000"),4,1)&amp;" ratus "&amp;MID(TEXT(ABS(K65),"000000000000000"),5,1)&amp;" puluh "&amp;MID(TEXT(ABS(K65),"000000000000000"),6,1)&amp;" milyar ")&amp; IF(--MID(TEXT(ABS(K65),"000000000000000"),7,3)=0,"",MID(TEXT(ABS(K65),"000000000000000"),7,1)&amp;" ratus "&amp;MID(TEXT(ABS(K65),"000000000000000"),8,1)&amp;" puluh "&amp;MID(TEXT(ABS(K65),"000000000000000"),9,1)&amp;" juta ")&amp; 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 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Juta Delapan Ratus Sembilan Belas Ribu Seratus Tiga Puluh Delapan Rupiah</v>
      </c>
      <c r="C66" s="616"/>
      <c r="D66" s="616"/>
      <c r="E66" s="616"/>
      <c r="F66" s="616"/>
      <c r="G66" s="616"/>
      <c r="H66" s="616"/>
      <c r="I66" s="616"/>
      <c r="J66" s="616"/>
      <c r="K66" s="617"/>
      <c r="M66" s="507"/>
    </row>
    <row r="67" spans="2:13">
      <c r="B67" s="618"/>
      <c r="C67" s="619"/>
      <c r="D67" s="619"/>
      <c r="E67" s="619"/>
      <c r="F67" s="619"/>
      <c r="G67" s="619"/>
      <c r="H67" s="619"/>
      <c r="I67" s="619"/>
      <c r="J67" s="619"/>
      <c r="K67" s="620"/>
    </row>
    <row r="68" spans="2:13" ht="15.75" thickBot="1">
      <c r="B68" s="395" t="str">
        <f>"Harga yang dipakai adalah "&amp;'HARGA SATUAN'!I5&amp;""</f>
        <v>Harga yang dipakai adalah RAB HSS 2023</v>
      </c>
      <c r="C68" s="396"/>
      <c r="D68" s="397"/>
      <c r="E68" s="397"/>
      <c r="F68" s="397"/>
      <c r="G68" s="398"/>
      <c r="H68" s="398"/>
      <c r="I68" s="398"/>
      <c r="J68" s="398"/>
      <c r="K68" s="399"/>
    </row>
    <row r="69" spans="2:13">
      <c r="C69" s="400"/>
      <c r="E69" s="402"/>
      <c r="F69" s="402"/>
      <c r="G69" s="402"/>
    </row>
    <row r="70" spans="2:13">
      <c r="C70" s="337"/>
      <c r="E70" s="402"/>
      <c r="F70" s="402"/>
      <c r="G70" s="402"/>
      <c r="H70" s="621"/>
      <c r="I70" s="621"/>
      <c r="J70" s="622"/>
      <c r="K70" s="622"/>
    </row>
    <row r="71" spans="2:13">
      <c r="C71" s="337"/>
      <c r="E71" s="402"/>
      <c r="F71" s="402"/>
      <c r="G71" s="402"/>
      <c r="H71" s="403"/>
      <c r="I71" s="610" t="s">
        <v>1627</v>
      </c>
      <c r="J71" s="610"/>
      <c r="K71" s="610"/>
    </row>
    <row r="72" spans="2:13">
      <c r="C72" s="337"/>
      <c r="E72" s="402"/>
      <c r="F72" s="402"/>
      <c r="G72" s="402"/>
      <c r="H72" s="403"/>
      <c r="I72" s="610" t="s">
        <v>1609</v>
      </c>
      <c r="J72" s="610"/>
      <c r="K72" s="610"/>
    </row>
    <row r="73" spans="2:13">
      <c r="C73" s="337"/>
      <c r="E73" s="402"/>
      <c r="F73" s="402"/>
      <c r="G73" s="402"/>
      <c r="H73" s="404"/>
      <c r="I73" s="405"/>
      <c r="J73" s="405"/>
      <c r="K73" s="405"/>
    </row>
    <row r="74" spans="2:13">
      <c r="C74" s="337"/>
      <c r="E74" s="402"/>
      <c r="F74" s="402"/>
      <c r="G74" s="402"/>
      <c r="H74" s="404"/>
      <c r="I74" s="404"/>
      <c r="J74" s="404"/>
      <c r="K74" s="404"/>
    </row>
    <row r="75" spans="2:13">
      <c r="C75" s="337"/>
      <c r="E75" s="402"/>
      <c r="F75" s="402"/>
      <c r="G75" s="402"/>
      <c r="H75" s="404"/>
      <c r="I75" s="404"/>
      <c r="J75" s="404"/>
      <c r="K75" s="404"/>
    </row>
    <row r="76" spans="2:13">
      <c r="C76" s="337"/>
      <c r="E76" s="402"/>
      <c r="F76" s="402"/>
      <c r="G76" s="402"/>
      <c r="H76" s="404"/>
      <c r="I76" s="404"/>
      <c r="J76" s="404"/>
      <c r="K76" s="404"/>
    </row>
    <row r="77" spans="2:13">
      <c r="C77" s="337"/>
      <c r="E77" s="402"/>
      <c r="F77" s="402"/>
      <c r="G77" s="402"/>
      <c r="H77" s="406"/>
      <c r="I77" s="610" t="s">
        <v>1611</v>
      </c>
      <c r="J77" s="610"/>
      <c r="K77" s="610"/>
    </row>
    <row r="78" spans="2:13">
      <c r="C78" s="400"/>
      <c r="E78" s="402"/>
      <c r="F78" s="402"/>
      <c r="G78" s="402"/>
      <c r="H78" s="404"/>
      <c r="I78" s="404"/>
      <c r="J78" s="404"/>
      <c r="K78" s="404"/>
    </row>
    <row r="79" spans="2:13">
      <c r="C79" s="400"/>
      <c r="E79" s="402"/>
      <c r="F79" s="402"/>
      <c r="G79" s="402"/>
      <c r="H79" s="404"/>
      <c r="I79" s="404"/>
      <c r="J79" s="404"/>
      <c r="K79" s="404"/>
    </row>
    <row r="80" spans="2:13">
      <c r="C80" s="400"/>
      <c r="E80" s="402"/>
      <c r="F80" s="402"/>
      <c r="G80" s="402"/>
      <c r="H80" s="404"/>
      <c r="I80" s="404"/>
      <c r="J80" s="404"/>
      <c r="K80" s="404"/>
    </row>
  </sheetData>
  <sheetProtection sort="0" autoFilter="0"/>
  <protectedRanges>
    <protectedRange sqref="B58" name="Range1_1"/>
    <protectedRange sqref="F14" name="Range1_1_2_2"/>
    <protectedRange sqref="C58" name="Range1_1_3_12"/>
    <protectedRange sqref="B17:B22" name="Range1_1_4"/>
    <protectedRange sqref="B15:C16 B24:C32 B46:C46 B33 B34:C45" name="Range1_6_2"/>
    <protectedRange sqref="C17 C22 C19:C20" name="Range1_3"/>
    <protectedRange sqref="F47:F58 F16:F46" name="Range1_1_3_1_1"/>
    <protectedRange sqref="F15" name="Range1_1_2_2_3_2"/>
    <protectedRange sqref="B47:B57" name="Range1_6_2_2"/>
    <protectedRange sqref="C57" name="Range1_6_2_2_2_1"/>
    <protectedRange sqref="C47:C56" name="Range1_1_3_2"/>
    <protectedRange sqref="C21" name="Range1_1_3_4"/>
    <protectedRange sqref="C33" name="Range1_1_3_5"/>
    <protectedRange sqref="C18" name="Range1_1_3"/>
  </protectedRanges>
  <mergeCells count="22">
    <mergeCell ref="O3:P4"/>
    <mergeCell ref="B4:K4"/>
    <mergeCell ref="C63:F63"/>
    <mergeCell ref="B11:B13"/>
    <mergeCell ref="C11:C13"/>
    <mergeCell ref="D11:D13"/>
    <mergeCell ref="E11:E13"/>
    <mergeCell ref="F11:F13"/>
    <mergeCell ref="G11:G13"/>
    <mergeCell ref="I12:I13"/>
    <mergeCell ref="I72:K72"/>
    <mergeCell ref="I77:K77"/>
    <mergeCell ref="C65:F65"/>
    <mergeCell ref="G6:K6"/>
    <mergeCell ref="I71:K71"/>
    <mergeCell ref="C64:F64"/>
    <mergeCell ref="B66:K67"/>
    <mergeCell ref="H70:K70"/>
    <mergeCell ref="H11:K11"/>
    <mergeCell ref="H12:H13"/>
    <mergeCell ref="J12:J13"/>
    <mergeCell ref="K12:K13"/>
  </mergeCells>
  <phoneticPr fontId="135" type="noConversion"/>
  <conditionalFormatting sqref="E59:K59 F25:F46 G15:K58 E15:E58">
    <cfRule type="cellIs" dxfId="13" priority="103" stopIfTrue="1" operator="equal">
      <formula>0</formula>
    </cfRule>
  </conditionalFormatting>
  <conditionalFormatting sqref="C58">
    <cfRule type="cellIs" dxfId="12" priority="122" operator="equal">
      <formula>0</formula>
    </cfRule>
  </conditionalFormatting>
  <conditionalFormatting sqref="E1:E3 G1:G13 E5:E13 H12:I12 O13 S14:V14 E60:G60 H60:K62 E61:H61 E62:F62">
    <cfRule type="cellIs" dxfId="11" priority="1104" stopIfTrue="1" operator="equal">
      <formula>0</formula>
    </cfRule>
  </conditionalFormatting>
  <conditionalFormatting sqref="E14:K14">
    <cfRule type="cellIs" dxfId="10" priority="72" stopIfTrue="1" operator="equal">
      <formula>0</formula>
    </cfRule>
  </conditionalFormatting>
  <conditionalFormatting sqref="G61:G65527 E66:E65527">
    <cfRule type="cellIs" dxfId="9" priority="238" stopIfTrue="1" operator="equal">
      <formula>0</formula>
    </cfRule>
  </conditionalFormatting>
  <conditionalFormatting sqref="F16">
    <cfRule type="cellIs" dxfId="8" priority="59" stopIfTrue="1" operator="equal">
      <formula>0</formula>
    </cfRule>
  </conditionalFormatting>
  <conditionalFormatting sqref="F17:F23">
    <cfRule type="cellIs" dxfId="7" priority="58" stopIfTrue="1" operator="equal">
      <formula>0</formula>
    </cfRule>
  </conditionalFormatting>
  <conditionalFormatting sqref="F15">
    <cfRule type="cellIs" dxfId="6" priority="56" stopIfTrue="1" operator="equal">
      <formula>0</formula>
    </cfRule>
  </conditionalFormatting>
  <conditionalFormatting sqref="F24">
    <cfRule type="cellIs" dxfId="5" priority="40" stopIfTrue="1" operator="equal">
      <formula>0</formula>
    </cfRule>
  </conditionalFormatting>
  <conditionalFormatting sqref="F57:F58">
    <cfRule type="cellIs" dxfId="4" priority="35" stopIfTrue="1" operator="equal">
      <formula>0</formula>
    </cfRule>
  </conditionalFormatting>
  <conditionalFormatting sqref="C30">
    <cfRule type="cellIs" dxfId="3" priority="24" operator="equal">
      <formula>0</formula>
    </cfRule>
  </conditionalFormatting>
  <conditionalFormatting sqref="F47:F56">
    <cfRule type="cellIs" dxfId="2" priority="18" stopIfTrue="1" operator="equal">
      <formula>0</formula>
    </cfRule>
  </conditionalFormatting>
  <conditionalFormatting sqref="C33">
    <cfRule type="cellIs" dxfId="1" priority="9" operator="equal">
      <formula>0</formula>
    </cfRule>
  </conditionalFormatting>
  <conditionalFormatting sqref="C1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H14:K62 F24:F59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9" zoomScale="85" zoomScaleNormal="115" zoomScaleSheetLayoutView="85" workbookViewId="0">
      <selection activeCell="S25" sqref="S25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3" t="s">
        <v>1439</v>
      </c>
      <c r="X2" s="694"/>
      <c r="Y2" s="694"/>
      <c r="Z2" s="694"/>
      <c r="AA2" s="694"/>
      <c r="AB2" s="694"/>
      <c r="AC2" s="694"/>
      <c r="AD2" s="695"/>
    </row>
    <row r="3" spans="3:30">
      <c r="C3" s="238"/>
      <c r="W3" s="696"/>
      <c r="X3" s="697"/>
      <c r="Y3" s="697"/>
      <c r="Z3" s="697"/>
      <c r="AA3" s="697"/>
      <c r="AB3" s="697"/>
      <c r="AC3" s="697"/>
      <c r="AD3" s="698"/>
    </row>
    <row r="4" spans="3:30">
      <c r="C4" s="238"/>
      <c r="Q4" s="483" t="s">
        <v>1616</v>
      </c>
      <c r="W4" s="239" t="s">
        <v>987</v>
      </c>
      <c r="AD4" s="240"/>
    </row>
    <row r="5" spans="3:30">
      <c r="C5" s="238"/>
      <c r="W5" s="241" t="s">
        <v>991</v>
      </c>
      <c r="X5" s="643" t="s">
        <v>990</v>
      </c>
      <c r="Y5" s="643"/>
      <c r="Z5" s="643"/>
      <c r="AA5" s="643" t="s">
        <v>988</v>
      </c>
      <c r="AB5" s="643"/>
      <c r="AC5" s="643" t="s">
        <v>989</v>
      </c>
      <c r="AD5" s="644"/>
    </row>
    <row r="6" spans="3:30" ht="21">
      <c r="C6" s="238"/>
      <c r="Q6" s="510" t="s">
        <v>1622</v>
      </c>
      <c r="W6" s="241">
        <v>1</v>
      </c>
      <c r="X6" s="643" t="s">
        <v>993</v>
      </c>
      <c r="Y6" s="643"/>
      <c r="Z6" s="643"/>
      <c r="AA6" s="643"/>
      <c r="AB6" s="643"/>
      <c r="AC6" s="643"/>
      <c r="AD6" s="644"/>
    </row>
    <row r="7" spans="3:30">
      <c r="C7" s="238"/>
      <c r="W7" s="241">
        <v>2</v>
      </c>
      <c r="X7" s="643" t="s">
        <v>994</v>
      </c>
      <c r="Y7" s="643"/>
      <c r="Z7" s="643"/>
      <c r="AA7" s="643"/>
      <c r="AB7" s="643"/>
      <c r="AC7" s="643"/>
      <c r="AD7" s="644"/>
    </row>
    <row r="8" spans="3:30">
      <c r="C8" s="238"/>
      <c r="W8" s="241">
        <v>3</v>
      </c>
      <c r="X8" s="643" t="s">
        <v>995</v>
      </c>
      <c r="Y8" s="643"/>
      <c r="Z8" s="643"/>
      <c r="AA8" s="643"/>
      <c r="AB8" s="643"/>
      <c r="AC8" s="643"/>
      <c r="AD8" s="644"/>
    </row>
    <row r="9" spans="3:30">
      <c r="C9" s="238"/>
      <c r="W9" s="241">
        <v>4</v>
      </c>
      <c r="X9" s="643" t="s">
        <v>996</v>
      </c>
      <c r="Y9" s="643"/>
      <c r="Z9" s="643"/>
      <c r="AA9" s="643"/>
      <c r="AB9" s="643"/>
      <c r="AC9" s="643"/>
      <c r="AD9" s="644"/>
    </row>
    <row r="10" spans="3:30">
      <c r="C10" s="238"/>
      <c r="W10" s="241">
        <v>5</v>
      </c>
      <c r="X10" s="643" t="s">
        <v>997</v>
      </c>
      <c r="Y10" s="643"/>
      <c r="Z10" s="643"/>
      <c r="AA10" s="643"/>
      <c r="AB10" s="643"/>
      <c r="AC10" s="643"/>
      <c r="AD10" s="644"/>
    </row>
    <row r="11" spans="3:30">
      <c r="C11" s="238"/>
      <c r="W11" s="241">
        <v>6</v>
      </c>
      <c r="X11" s="643" t="s">
        <v>998</v>
      </c>
      <c r="Y11" s="643"/>
      <c r="Z11" s="643"/>
      <c r="AA11" s="643"/>
      <c r="AB11" s="643"/>
      <c r="AC11" s="643"/>
      <c r="AD11" s="644"/>
    </row>
    <row r="12" spans="3:30">
      <c r="C12" s="238"/>
      <c r="W12" s="241">
        <v>7</v>
      </c>
      <c r="X12" s="643" t="s">
        <v>999</v>
      </c>
      <c r="Y12" s="643"/>
      <c r="Z12" s="643"/>
      <c r="AA12" s="643"/>
      <c r="AB12" s="643"/>
      <c r="AC12" s="643"/>
      <c r="AD12" s="644"/>
    </row>
    <row r="13" spans="3:30" ht="12.75" customHeight="1">
      <c r="C13" s="238"/>
      <c r="W13" s="241">
        <v>8</v>
      </c>
      <c r="X13" s="643" t="s">
        <v>1000</v>
      </c>
      <c r="Y13" s="643"/>
      <c r="Z13" s="643"/>
      <c r="AA13" s="643"/>
      <c r="AB13" s="643"/>
      <c r="AC13" s="643"/>
      <c r="AD13" s="644"/>
    </row>
    <row r="14" spans="3:30">
      <c r="C14" s="238"/>
      <c r="W14" s="241">
        <v>9</v>
      </c>
      <c r="X14" s="643" t="s">
        <v>1001</v>
      </c>
      <c r="Y14" s="643"/>
      <c r="Z14" s="643"/>
      <c r="AA14" s="643"/>
      <c r="AB14" s="643"/>
      <c r="AC14" s="643"/>
      <c r="AD14" s="644"/>
    </row>
    <row r="15" spans="3:30">
      <c r="C15" s="238"/>
      <c r="W15" s="241">
        <v>10</v>
      </c>
      <c r="X15" s="643" t="s">
        <v>1010</v>
      </c>
      <c r="Y15" s="643"/>
      <c r="Z15" s="643"/>
      <c r="AA15" s="643"/>
      <c r="AB15" s="643"/>
      <c r="AC15" s="643"/>
      <c r="AD15" s="644"/>
    </row>
    <row r="16" spans="3:30">
      <c r="C16" s="238"/>
      <c r="W16" s="241">
        <v>11</v>
      </c>
      <c r="X16" s="643" t="s">
        <v>1455</v>
      </c>
      <c r="Y16" s="643"/>
      <c r="Z16" s="643"/>
      <c r="AA16" s="643"/>
      <c r="AB16" s="643"/>
      <c r="AC16" s="643"/>
      <c r="AD16" s="644"/>
    </row>
    <row r="17" spans="3:30">
      <c r="C17" s="238"/>
      <c r="S17" s="242"/>
      <c r="W17" s="241">
        <v>12</v>
      </c>
      <c r="X17" s="643" t="s">
        <v>1011</v>
      </c>
      <c r="Y17" s="643"/>
      <c r="Z17" s="643"/>
      <c r="AA17" s="643"/>
      <c r="AB17" s="643"/>
      <c r="AC17" s="643"/>
      <c r="AD17" s="644"/>
    </row>
    <row r="18" spans="3:30">
      <c r="C18" s="243"/>
      <c r="D18" s="244"/>
      <c r="E18" s="244"/>
      <c r="W18" s="241">
        <v>13</v>
      </c>
      <c r="X18" s="643"/>
      <c r="Y18" s="643"/>
      <c r="Z18" s="643"/>
      <c r="AA18" s="643"/>
      <c r="AB18" s="643"/>
      <c r="AC18" s="643"/>
      <c r="AD18" s="644"/>
    </row>
    <row r="19" spans="3:30">
      <c r="C19" s="238"/>
      <c r="W19" s="245"/>
      <c r="X19" s="691"/>
      <c r="Y19" s="691"/>
      <c r="Z19" s="691"/>
      <c r="AA19" s="691"/>
      <c r="AB19" s="691"/>
      <c r="AC19" s="691"/>
      <c r="AD19" s="692"/>
    </row>
    <row r="20" spans="3:30">
      <c r="C20" s="238"/>
      <c r="W20" s="678" t="s">
        <v>992</v>
      </c>
      <c r="X20" s="679"/>
      <c r="Y20" s="679"/>
      <c r="Z20" s="679"/>
      <c r="AA20" s="679"/>
      <c r="AB20" s="679"/>
      <c r="AC20" s="679"/>
      <c r="AD20" s="680"/>
    </row>
    <row r="21" spans="3:30">
      <c r="C21" s="238"/>
      <c r="W21" s="681" t="s">
        <v>985</v>
      </c>
      <c r="X21" s="682"/>
      <c r="Y21" s="682"/>
      <c r="Z21" s="683"/>
      <c r="AA21" s="684" t="s">
        <v>986</v>
      </c>
      <c r="AB21" s="685"/>
      <c r="AC21" s="685"/>
      <c r="AD21" s="686"/>
    </row>
    <row r="22" spans="3:30">
      <c r="C22" s="238"/>
      <c r="W22" s="687"/>
      <c r="X22" s="688"/>
      <c r="Y22" s="485"/>
      <c r="Z22" s="488"/>
      <c r="AA22" s="689"/>
      <c r="AB22" s="690"/>
      <c r="AC22" s="248"/>
      <c r="AD22" s="249"/>
    </row>
    <row r="23" spans="3:30">
      <c r="C23" s="238"/>
      <c r="W23" s="687"/>
      <c r="X23" s="688"/>
      <c r="Y23" s="485"/>
      <c r="Z23" s="488"/>
      <c r="AA23" s="676"/>
      <c r="AB23" s="677"/>
      <c r="AC23" s="248"/>
      <c r="AD23" s="249"/>
    </row>
    <row r="24" spans="3:30">
      <c r="C24" s="238"/>
      <c r="W24" s="671"/>
      <c r="X24" s="673"/>
      <c r="Y24" s="246"/>
      <c r="Z24" s="247"/>
      <c r="AA24" s="674"/>
      <c r="AB24" s="675"/>
      <c r="AC24" s="248"/>
      <c r="AD24" s="249"/>
    </row>
    <row r="25" spans="3:30">
      <c r="C25" s="238"/>
      <c r="W25" s="671"/>
      <c r="X25" s="673"/>
      <c r="Y25" s="246"/>
      <c r="Z25" s="247"/>
      <c r="AA25" s="676"/>
      <c r="AB25" s="677"/>
      <c r="AC25" s="248"/>
      <c r="AD25" s="249"/>
    </row>
    <row r="26" spans="3:30">
      <c r="C26" s="238"/>
      <c r="W26" s="473"/>
      <c r="X26" s="474"/>
      <c r="Y26" s="246"/>
      <c r="Z26" s="247"/>
      <c r="AA26" s="676"/>
      <c r="AB26" s="677"/>
      <c r="AC26" s="248"/>
      <c r="AD26" s="249"/>
    </row>
    <row r="27" spans="3:30">
      <c r="C27" s="238"/>
      <c r="W27" s="473"/>
      <c r="X27" s="474"/>
      <c r="Y27" s="246"/>
      <c r="Z27" s="247"/>
      <c r="AA27" s="670"/>
      <c r="AB27" s="665"/>
      <c r="AC27" s="248"/>
      <c r="AD27" s="249"/>
    </row>
    <row r="28" spans="3:30">
      <c r="C28" s="238"/>
      <c r="W28" s="473"/>
      <c r="X28" s="474"/>
      <c r="Y28" s="246"/>
      <c r="Z28" s="247"/>
      <c r="AA28" s="670"/>
      <c r="AB28" s="665"/>
      <c r="AC28" s="248"/>
      <c r="AD28" s="249"/>
    </row>
    <row r="29" spans="3:30">
      <c r="C29" s="238"/>
      <c r="W29" s="473"/>
      <c r="X29" s="474"/>
      <c r="Y29" s="246"/>
      <c r="Z29" s="247"/>
      <c r="AA29" s="670"/>
      <c r="AB29" s="665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70"/>
      <c r="AB30" s="665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70"/>
      <c r="AB31" s="665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70"/>
      <c r="AB32" s="665"/>
      <c r="AC32" s="248"/>
      <c r="AD32" s="249"/>
    </row>
    <row r="33" spans="3:30">
      <c r="C33" s="238"/>
      <c r="W33" s="473"/>
      <c r="X33" s="474"/>
      <c r="Y33" s="246"/>
      <c r="Z33" s="247"/>
      <c r="AA33" s="670"/>
      <c r="AB33" s="665"/>
      <c r="AC33" s="248"/>
      <c r="AD33" s="249"/>
    </row>
    <row r="34" spans="3:30">
      <c r="C34" s="238"/>
      <c r="W34" s="473"/>
      <c r="X34" s="474"/>
      <c r="Y34" s="246"/>
      <c r="Z34" s="247"/>
      <c r="AA34" s="670"/>
      <c r="AB34" s="665"/>
      <c r="AC34" s="248"/>
      <c r="AD34" s="249"/>
    </row>
    <row r="35" spans="3:30">
      <c r="C35" s="238"/>
      <c r="W35" s="671"/>
      <c r="X35" s="672"/>
      <c r="Y35" s="246"/>
      <c r="Z35" s="247"/>
      <c r="AA35" s="670"/>
      <c r="AB35" s="665"/>
      <c r="AC35" s="248"/>
      <c r="AD35" s="249"/>
    </row>
    <row r="36" spans="3:30">
      <c r="C36" s="238"/>
      <c r="W36" s="662"/>
      <c r="X36" s="663"/>
      <c r="Y36" s="246"/>
      <c r="Z36" s="251"/>
      <c r="AA36" s="664"/>
      <c r="AB36" s="665"/>
      <c r="AC36" s="248"/>
      <c r="AD36" s="249"/>
    </row>
    <row r="37" spans="3:30" ht="12.75" customHeight="1">
      <c r="C37" s="238"/>
      <c r="W37" s="666"/>
      <c r="X37" s="667"/>
      <c r="Y37" s="246"/>
      <c r="Z37" s="251"/>
      <c r="AA37" s="668"/>
      <c r="AB37" s="669"/>
      <c r="AC37" s="252"/>
      <c r="AD37" s="253"/>
    </row>
    <row r="38" spans="3:30" ht="12.75" customHeight="1">
      <c r="C38" s="238"/>
      <c r="W38" s="666"/>
      <c r="X38" s="66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6"/>
      <c r="X39" s="667"/>
      <c r="Y39" s="254"/>
      <c r="Z39" s="257"/>
      <c r="AA39" s="658"/>
      <c r="AB39" s="659"/>
      <c r="AC39" s="252"/>
      <c r="AD39" s="253"/>
    </row>
    <row r="40" spans="3:30" ht="12" customHeight="1">
      <c r="C40" s="238"/>
      <c r="W40" s="654"/>
      <c r="X40" s="65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6"/>
      <c r="X41" s="657"/>
      <c r="Y41" s="260"/>
      <c r="Z41" s="261"/>
      <c r="AA41" s="658"/>
      <c r="AB41" s="659"/>
      <c r="AC41" s="252"/>
      <c r="AD41" s="253"/>
    </row>
    <row r="42" spans="3:30" ht="12" customHeight="1">
      <c r="C42" s="238"/>
      <c r="W42" s="660" t="s">
        <v>1456</v>
      </c>
      <c r="X42" s="661"/>
      <c r="Y42" s="661"/>
      <c r="Z42" s="66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0" t="s">
        <v>11</v>
      </c>
      <c r="X44" s="641"/>
      <c r="Y44" s="643"/>
      <c r="Z44" s="643"/>
      <c r="AA44" s="643"/>
      <c r="AB44" s="643"/>
      <c r="AC44" s="643"/>
      <c r="AD44" s="64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0" t="s">
        <v>984</v>
      </c>
      <c r="X45" s="641"/>
      <c r="Y45" s="643">
        <v>1</v>
      </c>
      <c r="Z45" s="643"/>
      <c r="AA45" s="643"/>
      <c r="AB45" s="643" t="s">
        <v>12</v>
      </c>
      <c r="AC45" s="64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0" t="s">
        <v>15</v>
      </c>
      <c r="X46" s="641"/>
      <c r="Y46" s="653"/>
      <c r="Z46" s="653"/>
      <c r="AA46" s="653"/>
      <c r="AB46" s="643" t="s">
        <v>16</v>
      </c>
      <c r="AC46" s="64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8" t="s">
        <v>17</v>
      </c>
      <c r="X47" s="648"/>
      <c r="Y47" s="648"/>
      <c r="Z47" s="648"/>
      <c r="AA47" s="648"/>
      <c r="AB47" s="648"/>
      <c r="AC47" s="648"/>
      <c r="AD47" s="64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0" t="str">
        <f>RAB!G6</f>
        <v>BADRUL ANAM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0" t="str">
        <f>RAB!G7</f>
        <v>DN KARANGJATI 3/6 DS PUTATSARI</v>
      </c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0" t="s">
        <v>18</v>
      </c>
      <c r="X52" s="641"/>
      <c r="Y52" s="643" t="s">
        <v>1607</v>
      </c>
      <c r="Z52" s="643"/>
      <c r="AA52" s="643"/>
      <c r="AB52" s="643"/>
      <c r="AC52" s="643"/>
      <c r="AD52" s="64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0" t="s">
        <v>19</v>
      </c>
      <c r="X53" s="641"/>
      <c r="Y53" s="643" t="s">
        <v>1608</v>
      </c>
      <c r="Z53" s="643"/>
      <c r="AA53" s="643"/>
      <c r="AB53" s="643"/>
      <c r="AC53" s="643"/>
      <c r="AD53" s="64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0" t="s">
        <v>20</v>
      </c>
      <c r="X54" s="641"/>
      <c r="Y54" s="642" t="s">
        <v>1547</v>
      </c>
      <c r="Z54" s="642"/>
      <c r="AA54" s="642"/>
      <c r="AB54" s="643"/>
      <c r="AC54" s="643"/>
      <c r="AD54" s="64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5" t="s">
        <v>21</v>
      </c>
      <c r="X55" s="646"/>
      <c r="Y55" s="642"/>
      <c r="Z55" s="642"/>
      <c r="AA55" s="642"/>
      <c r="AB55" s="642"/>
      <c r="AC55" s="642"/>
      <c r="AD55" s="647"/>
    </row>
  </sheetData>
  <mergeCells count="102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9" t="s">
        <v>1528</v>
      </c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1"/>
      <c r="AD4" s="217"/>
      <c r="AE4" s="216"/>
      <c r="AF4" s="216"/>
    </row>
    <row r="5" spans="2:32" ht="13.5" customHeight="1">
      <c r="B5" s="215"/>
      <c r="C5" s="215"/>
      <c r="D5" s="702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3"/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3"/>
      <c r="AC5" s="704"/>
      <c r="AD5" s="217"/>
      <c r="AE5" s="216"/>
      <c r="AF5" s="216"/>
    </row>
    <row r="6" spans="2:32" ht="12.75" customHeight="1">
      <c r="B6" s="215"/>
      <c r="C6" s="215"/>
      <c r="D6" s="702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3"/>
      <c r="AA6" s="703"/>
      <c r="AB6" s="703"/>
      <c r="AC6" s="704"/>
      <c r="AE6" s="216"/>
      <c r="AF6" s="216"/>
    </row>
    <row r="7" spans="2:32" ht="12.75" customHeight="1" thickBot="1">
      <c r="B7" s="215"/>
      <c r="C7" s="215"/>
      <c r="D7" s="705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3" t="s">
        <v>1527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3"/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8"/>
      <c r="D6" s="708"/>
      <c r="E6" s="708"/>
      <c r="F6" s="708"/>
      <c r="G6" s="708"/>
      <c r="H6" s="708"/>
      <c r="I6" s="708"/>
      <c r="J6" s="708"/>
      <c r="K6" s="708"/>
      <c r="L6" s="708"/>
      <c r="M6" s="708"/>
      <c r="W6" s="182"/>
      <c r="Y6" s="420"/>
      <c r="Z6" s="420"/>
      <c r="AA6" s="420"/>
      <c r="AB6" s="421"/>
      <c r="AC6" s="421"/>
    </row>
    <row r="7" spans="1:29" ht="18" customHeight="1">
      <c r="A7" s="181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2024-02-13T06:28:57Z</dcterms:modified>
</cp:coreProperties>
</file>