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4\02. FEBRUARI 2024\12. 52554 KKO KKF BUMDES TANJUNG MIGRASI 23KVA\"/>
    </mc:Choice>
  </mc:AlternateContent>
  <bookViews>
    <workbookView xWindow="0" yWindow="0" windowWidth="20490" windowHeight="7200" tabRatio="859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RAB!$A$1:$K$49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" i="11" l="1"/>
  <c r="D27" i="11" l="1"/>
  <c r="J27" i="11" s="1"/>
  <c r="E27" i="11"/>
  <c r="G27" i="11"/>
  <c r="G23" i="11"/>
  <c r="I27" i="11" l="1"/>
  <c r="H27" i="11"/>
  <c r="K27" i="11" l="1"/>
  <c r="D24" i="11" l="1"/>
  <c r="I24" i="11" s="1"/>
  <c r="E24" i="11"/>
  <c r="G24" i="11"/>
  <c r="D25" i="11"/>
  <c r="I25" i="11" s="1"/>
  <c r="E25" i="11"/>
  <c r="G25" i="11"/>
  <c r="H25" i="11" l="1"/>
  <c r="H24" i="11"/>
  <c r="J25" i="11"/>
  <c r="J24" i="11"/>
  <c r="K25" i="11" l="1"/>
  <c r="K24" i="11"/>
  <c r="D23" i="11" l="1"/>
  <c r="E23" i="11"/>
  <c r="H23" i="11" l="1"/>
  <c r="I23" i="11"/>
  <c r="J23" i="11"/>
  <c r="D15" i="11"/>
  <c r="H15" i="11" s="1"/>
  <c r="E15" i="11"/>
  <c r="G15" i="11"/>
  <c r="F22" i="11"/>
  <c r="F20" i="11"/>
  <c r="F19" i="11"/>
  <c r="F18" i="11"/>
  <c r="D16" i="11"/>
  <c r="J16" i="11" s="1"/>
  <c r="E16" i="11"/>
  <c r="G16" i="11"/>
  <c r="D17" i="11"/>
  <c r="H17" i="11" s="1"/>
  <c r="E17" i="11"/>
  <c r="G17" i="11"/>
  <c r="D18" i="11"/>
  <c r="E18" i="11"/>
  <c r="G18" i="11"/>
  <c r="D19" i="11"/>
  <c r="E19" i="11"/>
  <c r="G19" i="11"/>
  <c r="D20" i="11"/>
  <c r="J20" i="11" s="1"/>
  <c r="E20" i="11"/>
  <c r="G20" i="11"/>
  <c r="D21" i="11"/>
  <c r="J21" i="11" s="1"/>
  <c r="E21" i="11"/>
  <c r="G21" i="11"/>
  <c r="D22" i="11"/>
  <c r="I22" i="11" s="1"/>
  <c r="E22" i="11"/>
  <c r="G22" i="11"/>
  <c r="K23" i="11" l="1"/>
  <c r="I15" i="11"/>
  <c r="J15" i="11"/>
  <c r="H19" i="11"/>
  <c r="I17" i="11"/>
  <c r="I19" i="11"/>
  <c r="J17" i="11"/>
  <c r="I21" i="11"/>
  <c r="I16" i="11"/>
  <c r="H21" i="11"/>
  <c r="I20" i="11"/>
  <c r="J19" i="11"/>
  <c r="H22" i="11"/>
  <c r="J22" i="11"/>
  <c r="H18" i="11"/>
  <c r="J18" i="11"/>
  <c r="I18" i="11"/>
  <c r="H20" i="11"/>
  <c r="H16" i="11"/>
  <c r="K15" i="11" l="1"/>
  <c r="K17" i="11"/>
  <c r="K16" i="11"/>
  <c r="K19" i="11"/>
  <c r="K21" i="11"/>
  <c r="K20" i="11"/>
  <c r="K18" i="11"/>
  <c r="K22" i="11"/>
  <c r="W49" i="64"/>
  <c r="D28" i="11" l="1"/>
  <c r="I28" i="11" s="1"/>
  <c r="E28" i="11"/>
  <c r="G28" i="11"/>
  <c r="J28" i="11" l="1"/>
  <c r="H28" i="11"/>
  <c r="K28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29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9" i="11"/>
  <c r="D30" i="11"/>
  <c r="H30" i="11" s="1"/>
  <c r="E30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3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37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172" i="29"/>
  <c r="L42" i="3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9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0" i="11"/>
  <c r="I30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30" i="11"/>
  <c r="E236" i="29" l="1"/>
  <c r="J29" i="11"/>
  <c r="K29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32" i="11"/>
  <c r="H33" i="11" s="1"/>
  <c r="I32" i="11"/>
  <c r="I33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34" i="11"/>
  <c r="I34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32" i="11"/>
  <c r="K33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32" i="11"/>
  <c r="J33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34" i="11"/>
  <c r="B35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<sst xmlns="http://schemas.openxmlformats.org/spreadsheetml/2006/main" count="4691" uniqueCount="1620">
  <si>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</si>
  <si>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</si>
  <si>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</si>
  <si>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</si>
  <si>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</si>
  <si>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</si>
  <si>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</si>
  <si>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</si>
  <si>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</si>
  <si>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</si>
  <si>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</si>
  <si>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</si>
  <si>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</si>
  <si>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</si>
  <si>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</si>
  <si>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</si>
  <si>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</si>
  <si>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</si>
  <si>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</si>
  <si>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</si>
  <si>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</si>
  <si>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</si>
  <si>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</si>
  <si>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</si>
  <si>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</si>
  <si>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</si>
  <si>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</si>
  <si>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</si>
  <si>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</si>
  <si>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</si>
  <si>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</si>
  <si>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</si>
  <si>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</si>
  <si>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</si>
  <si>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</si>
  <si>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</si>
  <si>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</si>
  <si>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</si>
  <si>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</si>
  <si>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</si>
  <si>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</si>
  <si>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</si>
  <si>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</si>
  <si>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</si>
  <si>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</si>
  <si>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</si>
  <si>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</si>
  <si>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</si>
  <si>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</si>
  <si>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</si>
  <si>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</si>
  <si>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</si>
  <si>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</si>
  <si>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</si>
  <si>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</si>
  <si>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</si>
  <si>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</si>
  <si>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</si>
  <si>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</si>
  <si>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</si>
  <si>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</si>
  <si>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</si>
  <si>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</si>
  <si>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</si>
  <si>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</si>
  <si>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</si>
  <si>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</si>
  <si>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</si>
  <si>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</si>
  <si>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</si>
  <si>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</si>
  <si>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</si>
  <si>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</si>
  <si>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</si>
  <si>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</si>
  <si>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</si>
  <si>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</si>
  <si>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</si>
  <si>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</si>
  <si>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</si>
  <si>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</si>
  <si>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</si>
  <si>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</si>
  <si>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</si>
  <si>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</si>
  <si>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</si>
  <si>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</si>
  <si>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</si>
  <si>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</si>
  <si>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</si>
  <si>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</si>
  <si>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</si>
  <si>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</si>
  <si>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</si>
  <si>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</si>
  <si>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</si>
  <si>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</si>
  <si>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</si>
  <si>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</si>
  <si>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</si>
  <si>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</si>
  <si>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</si>
  <si>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</si>
  <si>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</si>
  <si>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</si>
  <si>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</si>
  <si>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</si>
  <si>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</si>
  <si>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</si>
  <si>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</si>
  <si>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</si>
  <si>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</si>
  <si>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</si>
  <si>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</si>
  <si>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</si>
  <si>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</si>
  <si>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</si>
  <si>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</si>
  <si>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</si>
  <si>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</si>
  <si>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</si>
  <si>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</si>
  <si>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</si>
  <si>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</si>
  <si>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</si>
  <si>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</si>
  <si>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</si>
  <si>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</si>
  <si>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</si>
  <si>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</si>
  <si>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</si>
  <si>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</si>
  <si>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</si>
  <si>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</si>
  <si>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</si>
  <si>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</si>
  <si>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</si>
  <si>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</si>
  <si>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</si>
  <si>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</si>
  <si>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</si>
  <si>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</si>
  <si>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</si>
  <si>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</si>
  <si>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</si>
  <si>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</si>
  <si>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</si>
  <si>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</si>
  <si>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</si>
  <si>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</si>
  <si>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</si>
  <si>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</si>
  <si>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</si>
  <si>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</si>
  <si>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</si>
  <si>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</si>
  <si>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</si>
  <si>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</si>
  <si>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</si>
  <si>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</si>
  <si>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</si>
  <si>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</si>
  <si>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</si>
  <si>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</si>
  <si>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</si>
  <si>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</si>
  <si>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</si>
  <si>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</si>
  <si>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</si>
  <si>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</si>
  <si>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</si>
  <si>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</si>
  <si>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</si>
  <si>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</si>
  <si>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</si>
  <si>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</si>
  <si>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</si>
  <si>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</si>
  <si>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</si>
  <si>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</si>
  <si>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</si>
  <si>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</si>
  <si>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</si>
  <si>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</si>
  <si>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</si>
  <si>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</si>
  <si>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</si>
  <si>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</si>
  <si>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</si>
  <si>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</si>
  <si>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</si>
  <si>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</si>
  <si>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</si>
  <si>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</si>
  <si>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</si>
  <si>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</si>
  <si>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</si>
  <si>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</si>
  <si>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</si>
  <si>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</si>
  <si>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</si>
  <si>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</si>
  <si>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</si>
  <si>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</si>
  <si>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</si>
  <si>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</si>
  <si>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</si>
  <si>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</si>
  <si>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</si>
  <si>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</si>
  <si>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</si>
  <si>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</si>
  <si>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</si>
  <si>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</si>
  <si>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</si>
  <si>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</si>
  <si>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</si>
  <si>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</si>
  <si>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</si>
  <si>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</si>
  <si>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</si>
  <si>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</si>
  <si>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</si>
  <si>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</si>
  <si>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</si>
  <si>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</si>
  <si>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</si>
  <si>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</si>
  <si>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</si>
  <si>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</si>
  <si>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</si>
  <si>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</si>
  <si>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</si>
  <si>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</si>
  <si>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</si>
  <si>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</si>
  <si>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</si>
  <si>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</si>
  <si>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</si>
  <si>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</si>
  <si>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</si>
  <si>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</si>
  <si>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</si>
  <si>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</si>
  <si>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</si>
  <si>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</si>
  <si>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</si>
  <si>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</si>
  <si>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</si>
  <si>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</si>
  <si>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</si>
  <si>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</si>
  <si>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</si>
  <si>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</si>
  <si>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</si>
  <si>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</si>
  <si>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</si>
  <si>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</si>
  <si>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</si>
  <si>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</si>
  <si>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</si>
  <si>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</si>
  <si>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</si>
  <si>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</si>
  <si>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</si>
  <si>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</si>
  <si>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</si>
  <si>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</si>
  <si>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</si>
  <si>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</si>
  <si>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</si>
  <si>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</si>
  <si>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</si>
  <si>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</si>
  <si>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</si>
  <si>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</si>
  <si>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</si>
  <si>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</si>
  <si>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</si>
  <si>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</si>
  <si>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</si>
  <si>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</si>
  <si>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</si>
  <si>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</si>
  <si>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</si>
  <si>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</si>
  <si>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</si>
  <si>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</si>
  <si>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</si>
  <si>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</si>
  <si>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</si>
  <si>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</si>
  <si>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</si>
  <si>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</si>
  <si>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</si>
  <si>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</si>
  <si>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</si>
  <si>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</si>
  <si>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</si>
  <si>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</si>
  <si>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</si>
  <si>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</si>
  <si>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</si>
  <si>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</si>
  <si>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</si>
  <si>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</si>
  <si>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</si>
  <si>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</si>
  <si>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</si>
  <si>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</si>
  <si>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</si>
  <si>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</si>
  <si>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</si>
  <si>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</si>
  <si>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</si>
  <si>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</si>
  <si>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</si>
  <si>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</si>
  <si>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</si>
  <si>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</si>
  <si>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</si>
  <si>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</si>
  <si>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</si>
  <si>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</si>
  <si>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</si>
  <si>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</si>
  <si>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</si>
  <si>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</si>
  <si>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</si>
  <si>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</si>
  <si>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</si>
  <si>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</si>
  <si>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</si>
  <si>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</si>
  <si>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</si>
  <si>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</si>
  <si>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</si>
  <si>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</si>
  <si>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</si>
  <si>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</si>
  <si>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</si>
  <si>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</si>
  <si>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</si>
  <si>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</si>
  <si>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</si>
  <si>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</si>
  <si>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</si>
  <si>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</si>
  <si>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</si>
  <si>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</si>
  <si>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</si>
  <si>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</si>
  <si>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</si>
  <si>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</si>
  <si>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</si>
  <si>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</si>
  <si>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</si>
  <si>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</si>
  <si>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</si>
  <si>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</si>
  <si>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</si>
  <si>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</si>
  <si>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</si>
  <si>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</si>
  <si>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</si>
  <si>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</si>
  <si>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</si>
  <si>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</si>
  <si>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</si>
  <si>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</si>
  <si>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</si>
  <si>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</si>
  <si>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</si>
  <si>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</si>
  <si>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</si>
  <si>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</si>
  <si>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</si>
  <si>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</si>
  <si>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</si>
  <si>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</si>
  <si>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</si>
  <si>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</si>
  <si>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</si>
  <si>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</si>
  <si>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</si>
  <si>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</si>
  <si>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</si>
  <si>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</si>
  <si>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</si>
  <si>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</si>
  <si>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</si>
  <si>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</si>
  <si>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</si>
  <si>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</si>
  <si>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</si>
  <si>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</si>
  <si>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</si>
  <si>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</si>
  <si>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</si>
  <si>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</si>
  <si>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</si>
  <si>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</si>
  <si>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</si>
  <si>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</si>
  <si>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</si>
  <si>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</si>
  <si>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</si>
  <si>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</si>
  <si>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</si>
  <si>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</si>
  <si>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</si>
  <si>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</si>
  <si>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</si>
  <si>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</si>
  <si>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</si>
  <si>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</si>
  <si>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</si>
  <si>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</si>
  <si>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</si>
  <si>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</si>
  <si>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</si>
  <si>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</si>
  <si>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</si>
  <si>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</si>
  <si>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</si>
  <si>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</si>
  <si>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</si>
  <si>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</si>
  <si>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</si>
  <si>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</si>
  <si>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</si>
  <si>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</si>
  <si>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</si>
  <si>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</si>
  <si>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</si>
  <si>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</si>
  <si>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</si>
  <si>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</si>
  <si>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</si>
  <si>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</si>
  <si>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</si>
  <si>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</si>
  <si>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</si>
  <si>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</si>
  <si>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</si>
  <si>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</si>
  <si>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</si>
  <si>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</si>
  <si>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</si>
  <si>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</si>
  <si>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</si>
  <si>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</si>
  <si>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</si>
  <si>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</si>
  <si>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</si>
  <si>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</si>
  <si>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</si>
  <si>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</si>
  <si>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</si>
  <si>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</si>
  <si>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</si>
  <si>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</si>
  <si>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</si>
  <si>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</si>
  <si>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</si>
  <si>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</si>
  <si>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</si>
  <si>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</si>
  <si>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</si>
  <si>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</si>
  <si>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</si>
  <si>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</si>
  <si>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</si>
  <si>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</si>
  <si>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</si>
  <si>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</si>
  <si>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</si>
  <si>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</si>
  <si>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</si>
  <si>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</si>
  <si>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</si>
  <si>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</si>
  <si>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</si>
  <si>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</si>
  <si>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</si>
  <si>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</si>
  <si>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</si>
  <si>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</si>
  <si>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</si>
  <si>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</si>
  <si>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</si>
  <si>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</si>
  <si>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</si>
  <si>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</si>
  <si>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</si>
  <si>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</si>
  <si>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</si>
  <si>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</si>
  <si>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</si>
  <si>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</si>
  <si>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</si>
  <si>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</si>
  <si>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</si>
  <si>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</si>
  <si>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</si>
  <si>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</si>
  <si>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</si>
  <si>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</si>
  <si>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</si>
  <si>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</si>
  <si>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</si>
  <si>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</si>
  <si>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</si>
  <si>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</si>
  <si>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</si>
  <si>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</si>
  <si>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</si>
  <si>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</si>
  <si>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</si>
  <si>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</si>
  <si>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</si>
  <si>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</si>
  <si>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</si>
  <si>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</si>
  <si>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</si>
  <si>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</si>
  <si>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</si>
  <si>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</si>
  <si>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</si>
  <si>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</si>
  <si>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</si>
  <si>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</si>
  <si>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</si>
  <si>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</si>
  <si>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</si>
  <si>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</si>
  <si>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</si>
  <si>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</si>
  <si>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</si>
  <si>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</si>
  <si>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</si>
  <si>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</si>
  <si>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</si>
  <si>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</si>
  <si>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</si>
  <si>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</si>
  <si>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</si>
  <si>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</si>
  <si>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</si>
  <si>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</si>
  <si>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</si>
  <si>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</si>
  <si>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</si>
  <si>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</si>
  <si>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</si>
  <si>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</si>
  <si>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</si>
  <si>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</si>
  <si>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</si>
  <si>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</si>
  <si>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</si>
  <si>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</si>
  <si>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</si>
  <si>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</si>
  <si>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</si>
  <si>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</si>
  <si>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</si>
  <si>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</si>
  <si>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</si>
  <si>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</si>
  <si>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</si>
  <si>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</si>
  <si>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</si>
  <si>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</si>
  <si>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</si>
  <si>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</si>
  <si>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</si>
  <si>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</si>
  <si>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</si>
  <si>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</si>
  <si>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</si>
  <si>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</si>
  <si>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</si>
  <si>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</si>
  <si>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</si>
  <si>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</si>
  <si>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</si>
  <si>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</si>
  <si>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</si>
  <si>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</si>
  <si>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</si>
  <si>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</si>
  <si>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</si>
  <si>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</si>
  <si>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</si>
  <si>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</si>
  <si>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</si>
  <si>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</si>
  <si>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</si>
  <si>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</si>
  <si>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</si>
  <si>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</si>
  <si>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</si>
  <si>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</si>
  <si>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</si>
  <si>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</si>
  <si>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</si>
  <si>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</si>
  <si>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</si>
  <si>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</si>
  <si>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</si>
  <si>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</si>
  <si>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</si>
  <si>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</si>
  <si>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</si>
  <si>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</si>
  <si>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</si>
  <si>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</si>
  <si>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</si>
  <si>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</si>
  <si>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</si>
  <si>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</si>
  <si>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</si>
  <si>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</si>
  <si>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</si>
  <si>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</si>
  <si>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</si>
  <si>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</si>
  <si>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</si>
  <si>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</si>
  <si>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</si>
  <si>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</si>
  <si>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</si>
  <si>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</si>
  <si>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</si>
  <si>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</si>
  <si>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</si>
  <si>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</si>
  <si>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</si>
  <si>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</si>
  <si>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</si>
  <si>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</si>
  <si>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</si>
  <si>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</si>
  <si>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</si>
  <si>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</si>
  <si>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</si>
  <si>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</si>
  <si>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</si>
  <si>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</si>
  <si>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</si>
  <si>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</si>
  <si>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</si>
  <si>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</si>
  <si>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</si>
  <si>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</si>
  <si>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</si>
  <si>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</si>
  <si>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</si>
  <si>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</si>
  <si>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</si>
  <si>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</si>
  <si>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</si>
  <si>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</si>
  <si>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</si>
  <si>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</si>
  <si>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</si>
  <si>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</si>
  <si>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</si>
  <si>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</si>
  <si>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</si>
  <si>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</si>
  <si>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</si>
  <si>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</si>
  <si>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</si>
  <si>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</si>
  <si>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</si>
  <si>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</si>
  <si>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</si>
  <si>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</si>
  <si>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</si>
  <si>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</si>
  <si>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</si>
  <si>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</si>
  <si>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</si>
  <si>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</si>
  <si>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</si>
  <si>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</si>
  <si>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</si>
  <si>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</si>
  <si>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</si>
  <si>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</si>
  <si>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</si>
  <si>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</si>
  <si>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</si>
  <si>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</si>
  <si>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</si>
  <si>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</si>
  <si>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</si>
  <si>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</si>
  <si>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</si>
  <si>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</si>
  <si>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</si>
  <si>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</si>
  <si>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</si>
  <si>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</si>
  <si>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</si>
  <si>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</si>
  <si>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</si>
  <si>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</si>
  <si>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</si>
  <si>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</si>
  <si>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</si>
  <si>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</si>
  <si>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</si>
  <si>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</si>
  <si>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</si>
  <si>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</si>
  <si>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</si>
  <si>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</si>
  <si>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</si>
  <si>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</si>
  <si>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</si>
  <si>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</si>
  <si>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</si>
  <si>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</si>
  <si>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</si>
  <si>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</si>
  <si>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</si>
  <si>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</si>
  <si>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</si>
  <si>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</si>
  <si>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</si>
  <si>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</si>
  <si>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</si>
  <si>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</si>
  <si>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</si>
  <si>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</si>
  <si>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</si>
  <si>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</si>
  <si>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</si>
  <si>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</si>
  <si>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</si>
  <si>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</si>
  <si>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</si>
  <si>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</si>
  <si>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</si>
  <si>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</si>
  <si>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</si>
  <si>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</si>
  <si>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</si>
  <si>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</si>
  <si>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</si>
  <si>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</si>
  <si>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</si>
  <si>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</si>
  <si>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</si>
  <si>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</si>
  <si>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</si>
  <si>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</si>
  <si>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</si>
  <si>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</si>
  <si>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</si>
  <si>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</si>
  <si>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</si>
  <si>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</si>
  <si>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</si>
  <si>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</si>
  <si>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</si>
  <si>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</si>
  <si>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</si>
  <si>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</si>
  <si>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</si>
  <si>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</si>
  <si>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</si>
  <si>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</si>
  <si>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</si>
  <si>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</si>
  <si>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</si>
  <si>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</si>
  <si>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</si>
  <si>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</si>
  <si>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</si>
  <si>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</si>
  <si>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</si>
  <si>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</si>
  <si>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</si>
  <si>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</si>
  <si>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</si>
  <si>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</si>
  <si>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</si>
  <si>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</si>
  <si>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</si>
  <si>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</si>
  <si>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</si>
  <si>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</si>
  <si>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</si>
  <si>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</si>
  <si>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</si>
  <si>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</si>
  <si>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</si>
  <si>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</si>
  <si>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</si>
  <si>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</si>
  <si>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</si>
  <si>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</si>
  <si>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</si>
  <si>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</si>
  <si>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</si>
  <si>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</si>
  <si>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</si>
  <si>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</si>
  <si>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</si>
  <si>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</si>
  <si>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</si>
  <si>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</si>
  <si>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</si>
  <si>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</si>
  <si>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</si>
  <si>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</si>
  <si>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</si>
  <si>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</si>
  <si>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</si>
  <si>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</si>
  <si>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</si>
  <si>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</si>
  <si>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</si>
  <si>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</si>
  <si>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</si>
  <si>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</si>
  <si>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</si>
  <si>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</si>
  <si>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</si>
  <si>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</si>
  <si>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</si>
  <si>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</si>
  <si>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</si>
  <si>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</si>
  <si>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</si>
  <si>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</si>
  <si>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</si>
  <si>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</si>
  <si>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</si>
  <si>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</si>
  <si>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</si>
  <si>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</si>
  <si>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</si>
  <si>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</si>
  <si>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</si>
  <si>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</si>
  <si>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</si>
  <si>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</si>
  <si>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</si>
  <si>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</si>
  <si>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</si>
  <si>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</si>
  <si>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</si>
  <si>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</si>
  <si>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</si>
  <si>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</si>
  <si>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</si>
  <si>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</si>
  <si>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</si>
  <si>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</si>
  <si>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</si>
  <si>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</si>
  <si>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</si>
  <si>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</si>
  <si>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</si>
  <si>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</si>
  <si>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</si>
  <si>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</si>
  <si>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</si>
  <si>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</si>
  <si>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</si>
  <si>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</si>
  <si>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</si>
  <si>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</si>
  <si>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</si>
  <si>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</si>
  <si>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</si>
  <si>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</si>
  <si>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</si>
  <si>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</si>
  <si>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</si>
  <si>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</si>
  <si>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</si>
  <si>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</si>
  <si>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</si>
  <si>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</si>
  <si>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</si>
  <si>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</si>
  <si>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</si>
  <si>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</si>
  <si>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</si>
  <si>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</si>
  <si>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</si>
  <si>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</si>
  <si>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</si>
  <si>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</si>
  <si>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</si>
  <si>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</si>
  <si>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</si>
  <si>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</si>
  <si>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</si>
  <si>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</si>
  <si>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</si>
  <si>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</si>
  <si>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</si>
  <si>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</si>
  <si>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</si>
  <si>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</si>
  <si>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</si>
  <si>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</si>
  <si>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</si>
  <si>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</si>
  <si>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</si>
  <si>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</si>
  <si>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</si>
  <si>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</si>
  <si>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</si>
  <si>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</si>
  <si>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</si>
  <si>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</si>
  <si>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</si>
  <si>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</si>
  <si>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</si>
  <si>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</si>
  <si>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</si>
  <si>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</si>
  <si>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</si>
  <si>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</si>
  <si>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</si>
  <si>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</si>
  <si>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</si>
  <si>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</si>
  <si>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</si>
  <si>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</si>
  <si>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</si>
  <si>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</si>
  <si>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</si>
  <si>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</si>
  <si>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</si>
  <si>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</si>
  <si>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</si>
  <si>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</si>
  <si>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</si>
  <si>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</si>
  <si>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</si>
  <si>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</si>
  <si>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</si>
  <si>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</si>
  <si>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</si>
  <si>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</si>
  <si>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</si>
  <si>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</si>
  <si>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</si>
  <si>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</si>
  <si>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</si>
  <si>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</si>
  <si>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</si>
  <si>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</si>
  <si>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</si>
  <si>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</si>
  <si>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</si>
  <si>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</si>
  <si>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</si>
  <si>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</si>
  <si>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</si>
  <si>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</si>
  <si>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</si>
  <si>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</si>
  <si>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</si>
  <si>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</si>
  <si>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</si>
  <si>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</si>
  <si>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</si>
  <si>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</si>
  <si>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</si>
  <si>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</si>
  <si>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</si>
  <si>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</si>
  <si>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</si>
  <si>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</si>
  <si>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</si>
  <si>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</si>
  <si>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</si>
  <si>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</si>
  <si>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</si>
  <si>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</si>
  <si>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</si>
  <si>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</si>
  <si>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</si>
  <si>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</si>
  <si>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</si>
  <si>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</si>
  <si>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</si>
  <si>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</si>
  <si>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</si>
  <si>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</si>
  <si>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</si>
  <si>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</si>
  <si>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</si>
  <si>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</si>
  <si>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</si>
  <si>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</si>
  <si>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</si>
  <si>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</si>
  <si>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</si>
  <si>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</si>
  <si>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</si>
  <si>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</si>
  <si>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</si>
  <si>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</si>
  <si>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</si>
  <si>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</si>
  <si>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</si>
  <si>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</si>
  <si>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</si>
  <si>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</si>
  <si>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</si>
  <si>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</si>
  <si>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</si>
  <si>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</si>
  <si>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</si>
  <si>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</si>
  <si>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</si>
  <si>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</si>
  <si>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</si>
  <si>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</si>
  <si>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</si>
  <si>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</si>
  <si>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</si>
  <si>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</si>
  <si>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</si>
  <si>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</si>
  <si>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</si>
  <si>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</si>
  <si>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</si>
  <si>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</si>
  <si>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</si>
  <si>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</si>
  <si>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</si>
  <si>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</si>
  <si>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</si>
  <si>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</si>
  <si>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</si>
  <si>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</si>
  <si>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</si>
  <si>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</si>
  <si>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</si>
  <si>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</si>
  <si>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</si>
  <si>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</si>
  <si>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</si>
  <si>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</si>
  <si>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</si>
  <si>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</si>
  <si>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</si>
  <si>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</si>
  <si>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</si>
  <si>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</si>
  <si>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</si>
  <si>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</si>
  <si>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</si>
  <si>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</si>
  <si>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</si>
  <si>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</si>
  <si>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</si>
  <si>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</si>
  <si>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</si>
  <si>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</si>
  <si>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</si>
  <si>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</si>
  <si>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</si>
  <si>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</si>
  <si>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</si>
  <si>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</si>
  <si>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</si>
  <si>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</si>
  <si>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</si>
  <si>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</si>
  <si>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</si>
  <si>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</si>
  <si>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</si>
  <si>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</si>
  <si>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</si>
  <si>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</si>
  <si>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</si>
  <si>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</si>
  <si>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</si>
  <si>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</si>
  <si>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</si>
  <si>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</si>
  <si>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</si>
  <si>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</si>
  <si>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</si>
  <si>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</si>
  <si>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</si>
  <si>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</si>
  <si>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</si>
  <si>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</si>
  <si>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</si>
  <si>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</si>
  <si>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</si>
  <si>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</si>
  <si>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</si>
  <si>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</si>
  <si>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</si>
  <si>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</si>
  <si>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</si>
  <si>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</si>
  <si>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</si>
  <si>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</si>
  <si>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</si>
  <si>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</si>
  <si>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</si>
  <si>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</si>
  <si>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</si>
  <si>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</si>
  <si>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</si>
  <si>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</si>
  <si>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</si>
  <si>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</si>
  <si>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</si>
  <si>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</si>
  <si>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</si>
  <si>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</si>
  <si>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</si>
  <si>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</si>
  <si>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</si>
  <si>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</si>
  <si>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</si>
  <si>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</si>
  <si>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</si>
  <si>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</si>
  <si>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</si>
  <si>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</si>
  <si>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</si>
  <si>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</si>
  <si>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</si>
  <si>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</si>
  <si>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</si>
  <si>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</si>
  <si>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</si>
  <si>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</si>
  <si>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</si>
  <si>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</si>
  <si>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</si>
  <si>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</si>
  <si>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</si>
  <si>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</si>
  <si>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</si>
  <si>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</si>
  <si>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</si>
  <si>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</si>
  <si>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</si>
  <si>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</si>
  <si>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</si>
  <si>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</si>
  <si>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</si>
  <si>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</si>
  <si>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</si>
  <si>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</si>
  <si>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</si>
  <si>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</si>
  <si>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</si>
  <si>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</si>
  <si>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</si>
  <si>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</si>
  <si>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</si>
  <si>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</si>
  <si>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</si>
  <si>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</si>
  <si>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</si>
  <si>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</si>
  <si>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</si>
  <si>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</si>
  <si>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</si>
  <si>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</si>
  <si>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</si>
  <si>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</si>
  <si>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</si>
  <si>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</si>
  <si>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</si>
  <si>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</si>
  <si>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</si>
  <si>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</si>
  <si>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</si>
  <si>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</si>
  <si>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</si>
  <si>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</si>
  <si>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</si>
  <si>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</si>
  <si>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</si>
  <si>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</si>
  <si>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</si>
  <si>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</si>
  <si>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</si>
  <si>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</si>
  <si>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</si>
  <si>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</si>
  <si>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</si>
  <si>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</si>
  <si>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</si>
  <si>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</si>
  <si>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</si>
  <si>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</si>
  <si>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</si>
  <si>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</si>
  <si>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</si>
  <si>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</si>
  <si>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</si>
  <si>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</si>
  <si>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</si>
  <si>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</si>
  <si>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</si>
  <si>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</si>
  <si>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</si>
  <si>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</si>
  <si>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</si>
  <si>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</si>
  <si>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</si>
  <si>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</si>
  <si>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</si>
  <si>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</si>
  <si>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</si>
  <si>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</si>
  <si>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</si>
  <si>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</si>
  <si>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</si>
  <si>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</si>
  <si>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</si>
  <si>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</si>
  <si>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</si>
  <si>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</si>
  <si>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</si>
  <si>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</si>
  <si>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</si>
  <si>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</si>
  <si>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</si>
  <si>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</si>
  <si>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</si>
  <si>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</si>
  <si>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</si>
  <si>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</si>
  <si>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</si>
  <si>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</si>
  <si>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</si>
  <si>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</si>
  <si>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</si>
  <si>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</si>
  <si>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</si>
  <si>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</si>
  <si>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</si>
  <si>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</si>
  <si>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</si>
  <si>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</si>
  <si>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</si>
  <si>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</si>
  <si>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</si>
  <si>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</si>
  <si>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</si>
  <si>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</si>
  <si>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</si>
  <si>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</si>
  <si>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</si>
  <si>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</si>
  <si>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</si>
  <si>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</si>
  <si>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</si>
  <si>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</si>
  <si>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</si>
  <si>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</si>
  <si>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</si>
  <si>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</si>
  <si>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</si>
  <si>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</si>
  <si>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</si>
  <si>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</si>
  <si>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</si>
  <si>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</si>
  <si>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</si>
  <si>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</si>
  <si>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</si>
  <si>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</si>
  <si>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</si>
  <si>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</si>
  <si>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</si>
  <si>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</si>
  <si>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</si>
  <si>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</si>
  <si>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</si>
  <si>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</si>
  <si>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</si>
  <si>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</si>
  <si>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</si>
  <si>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</si>
  <si>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</si>
  <si>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</si>
  <si>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</si>
  <si>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</si>
  <si>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</si>
  <si>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</si>
  <si>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</si>
  <si>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</si>
  <si>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</si>
  <si>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</si>
  <si>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</si>
  <si>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</si>
  <si>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</si>
  <si>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</si>
  <si>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</si>
  <si>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</si>
  <si>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</si>
  <si>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</si>
  <si>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</si>
  <si>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</si>
  <si>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</si>
  <si>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</si>
  <si>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</si>
  <si>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</si>
  <si>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</si>
  <si>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</si>
  <si>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</si>
  <si>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</si>
  <si>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</si>
  <si>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</si>
  <si>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</si>
  <si>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</si>
  <si>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</si>
  <si>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</si>
  <si>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</si>
  <si>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</si>
  <si>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</si>
  <si>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</si>
  <si>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</si>
  <si>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</si>
  <si>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</si>
  <si>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</si>
  <si>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</si>
  <si>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</si>
  <si>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</si>
  <si>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</si>
  <si>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</si>
  <si>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</si>
  <si>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</si>
  <si>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</si>
  <si>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</si>
  <si>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</si>
  <si>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</si>
  <si>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</si>
  <si>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</si>
  <si>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</si>
  <si>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</si>
  <si>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</si>
  <si>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</si>
  <si>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</si>
  <si>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</si>
  <si>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</si>
  <si>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</si>
  <si>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</si>
  <si>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</si>
  <si>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</si>
  <si>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</si>
  <si>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</si>
  <si>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</si>
  <si>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</si>
  <si>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</si>
  <si>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</si>
  <si>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</si>
  <si>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</si>
  <si>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</si>
  <si>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</si>
  <si>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</si>
  <si>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</si>
  <si>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</si>
  <si>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</si>
  <si>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</si>
  <si>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</si>
  <si>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</si>
  <si>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</si>
  <si>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</si>
  <si>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</si>
  <si>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</si>
  <si>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</si>
  <si>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</si>
  <si>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</si>
  <si>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</si>
  <si>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</si>
  <si>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</si>
  <si>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</si>
  <si>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</si>
  <si>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</si>
  <si>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</si>
  <si>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</si>
  <si>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</si>
  <si>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</si>
  <si>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</si>
  <si>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</si>
  <si>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</si>
  <si>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</si>
  <si>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</si>
  <si>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</si>
  <si>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</si>
  <si>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</si>
  <si>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</si>
  <si>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</si>
  <si>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</si>
  <si>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</si>
  <si>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</si>
  <si>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</si>
  <si>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</si>
  <si>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</si>
  <si>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</si>
  <si>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</si>
  <si>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</si>
  <si>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</si>
  <si>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</si>
  <si>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</si>
  <si>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</si>
  <si>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</si>
  <si>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</si>
  <si>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</si>
  <si>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</si>
  <si>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</si>
  <si>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</si>
  <si>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</si>
  <si>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</si>
  <si>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</si>
  <si>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</si>
  <si>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</si>
  <si>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</si>
  <si>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</si>
  <si>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</si>
  <si>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</si>
  <si>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</si>
  <si>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</si>
  <si>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</si>
  <si>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</si>
  <si>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</si>
  <si>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</si>
  <si>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</si>
  <si>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</si>
  <si>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</si>
  <si>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</si>
  <si>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</si>
  <si>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</si>
  <si>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</si>
  <si>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</si>
  <si>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</si>
  <si>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</si>
  <si>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</si>
  <si>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</si>
  <si>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</si>
  <si>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</si>
  <si>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</si>
  <si>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</si>
  <si>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</si>
  <si>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</si>
  <si>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</si>
  <si>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</si>
  <si>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</si>
  <si>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</si>
  <si>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</si>
  <si>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</si>
  <si>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</si>
  <si>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</si>
  <si>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</si>
  <si>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</si>
  <si>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</si>
  <si>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</si>
  <si>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</si>
  <si>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</si>
  <si>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</si>
  <si>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</si>
  <si>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</si>
  <si>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</si>
  <si>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</si>
  <si>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</si>
  <si>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</si>
  <si>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</si>
  <si>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</si>
  <si>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</si>
  <si>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</si>
  <si>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</si>
  <si>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</si>
  <si>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</si>
  <si>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</si>
  <si>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</si>
  <si>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</si>
  <si>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</si>
  <si>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</si>
  <si>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</si>
  <si>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</si>
  <si>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</si>
  <si>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</si>
  <si>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</si>
  <si>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</si>
  <si>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</si>
  <si>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</si>
  <si>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</si>
  <si>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</si>
  <si>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</si>
  <si>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</si>
  <si>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</si>
  <si>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</si>
  <si>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</si>
  <si>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</si>
  <si>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</si>
  <si>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</si>
  <si>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</si>
  <si>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</si>
  <si>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</si>
  <si>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</si>
  <si>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</si>
  <si>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</si>
  <si>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</si>
  <si>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</si>
  <si>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</si>
  <si>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</si>
  <si>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</si>
  <si>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</si>
  <si>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</si>
  <si>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</si>
  <si>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</si>
  <si>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</si>
  <si>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</si>
  <si>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</si>
  <si>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</si>
  <si>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</si>
  <si>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</si>
  <si>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</si>
  <si>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</si>
  <si>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</si>
  <si>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</si>
  <si>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</si>
  <si>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</si>
  <si>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</si>
  <si>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</si>
  <si>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</si>
  <si>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</si>
  <si>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</si>
  <si>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</si>
  <si>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</si>
  <si>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</si>
  <si>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</si>
  <si>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</si>
  <si>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</si>
  <si>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</si>
  <si>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</si>
  <si>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</si>
  <si>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</si>
  <si>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</si>
  <si>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</si>
  <si>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</si>
  <si>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</si>
  <si>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</si>
  <si>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</si>
  <si>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</si>
  <si>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</si>
  <si>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</si>
  <si>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</si>
  <si>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</si>
  <si>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</si>
  <si>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</si>
  <si>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</si>
  <si>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</si>
  <si>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</si>
  <si>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</si>
  <si>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</si>
  <si>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</si>
  <si>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</si>
  <si>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</si>
  <si>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</si>
  <si>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</si>
  <si>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</si>
  <si>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</si>
  <si>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</si>
  <si>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</si>
  <si>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</si>
  <si>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</si>
  <si>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</si>
  <si>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</si>
  <si>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</si>
  <si>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</si>
  <si>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</si>
  <si>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</si>
  <si>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</si>
  <si>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</si>
  <si>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</si>
  <si>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</si>
  <si>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</si>
  <si>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</si>
  <si>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</si>
  <si>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</si>
  <si>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</si>
  <si>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</si>
  <si>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</si>
  <si>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</si>
  <si>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</si>
  <si>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</si>
  <si>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</si>
  <si>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</si>
  <si>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</si>
  <si>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</si>
  <si>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</si>
  <si>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</si>
  <si>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</si>
  <si>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</si>
  <si>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</si>
  <si>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</si>
  <si>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APP</t>
  </si>
  <si>
    <t xml:space="preserve">KOORDINAT : </t>
  </si>
  <si>
    <t>PEKERJAAN BONGKAR</t>
  </si>
  <si>
    <t>Wirosari,  Februari 2024</t>
  </si>
  <si>
    <t>BUMDES TANJUNG</t>
  </si>
  <si>
    <t>PWI 11</t>
  </si>
  <si>
    <t>TANJUNGREJO  1 / 3</t>
  </si>
  <si>
    <t>Daya 23.000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</si>
</sst>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  <font>
      <sz val="16"/>
      <color rgb="FFFF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41" fontId="173" fillId="0" borderId="0" applyFont="0" applyFill="0" applyBorder="0" applyAlignment="0" applyProtection="0"/>
    <xf numFmtId="0" fontId="20" fillId="0" borderId="0"/>
    <xf numFmtId="0" fontId="175" fillId="0" borderId="0" applyNumberFormat="0" applyFill="0" applyBorder="0" applyAlignment="0" applyProtection="0"/>
  </cellStyleXfs>
  <cellXfs count="706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9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9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167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1" fillId="0" borderId="21" xfId="1653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7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165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167" fontId="140" fillId="40" borderId="85" xfId="2672" applyFont="1" applyFill="1" applyBorder="1" applyAlignment="1" applyProtection="1">
      <alignment horizontal="right" vertical="center" wrapText="1"/>
      <protection locked="0"/>
    </xf>
    <xf numFmtId="167" fontId="140" fillId="40" borderId="87" xfId="2672" applyFont="1" applyFill="1" applyBorder="1" applyAlignment="1" applyProtection="1">
      <alignment horizontal="right" vertical="center"/>
      <protection locked="0"/>
    </xf>
    <xf numFmtId="169" fontId="140" fillId="40" borderId="87" xfId="2672" applyNumberFormat="1" applyFont="1" applyFill="1" applyBorder="1" applyAlignment="1" applyProtection="1">
      <alignment horizontal="right" vertical="center"/>
      <protection locked="0"/>
    </xf>
    <xf numFmtId="169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9" fillId="0" borderId="21" xfId="1614" applyFont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41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9" fontId="144" fillId="46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119" fillId="0" borderId="99" xfId="1450" applyFont="1" applyBorder="1" applyAlignment="1">
      <alignment horizontal="center" vertical="center"/>
    </xf>
    <xf numFmtId="0" fontId="175" fillId="33" borderId="0" xfId="2678" applyFill="1"/>
    <xf numFmtId="0" fontId="114" fillId="33" borderId="0" xfId="0" applyFont="1" applyFill="1" applyAlignment="1">
      <alignment vertical="center" wrapText="1"/>
    </xf>
    <xf numFmtId="0" fontId="114" fillId="33" borderId="37" xfId="0" applyFont="1" applyFill="1" applyBorder="1" applyAlignment="1">
      <alignment vertical="center" wrapText="1"/>
    </xf>
    <xf numFmtId="0" fontId="114" fillId="33" borderId="44" xfId="0" applyFont="1" applyFill="1" applyBorder="1" applyAlignment="1">
      <alignment vertical="center" wrapText="1"/>
    </xf>
    <xf numFmtId="0" fontId="114" fillId="33" borderId="45" xfId="0" applyFont="1" applyFill="1" applyBorder="1" applyAlignment="1">
      <alignment vertical="center" wrapText="1"/>
    </xf>
    <xf numFmtId="0" fontId="114" fillId="33" borderId="18" xfId="0" applyFont="1" applyFill="1" applyBorder="1" applyAlignment="1">
      <alignment vertical="center" wrapText="1"/>
    </xf>
    <xf numFmtId="0" fontId="114" fillId="33" borderId="43" xfId="0" applyFont="1" applyFill="1" applyBorder="1" applyAlignment="1">
      <alignment vertical="center" wrapText="1"/>
    </xf>
    <xf numFmtId="0" fontId="42" fillId="0" borderId="21" xfId="1615" applyNumberFormat="1" applyFont="1" applyFill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2" fillId="0" borderId="20" xfId="1615" applyFont="1" applyFill="1" applyBorder="1" applyAlignment="1">
      <alignment horizontal="center" vertical="center"/>
    </xf>
    <xf numFmtId="0" fontId="9" fillId="0" borderId="21" xfId="1614" applyFont="1" applyFill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41" fontId="152" fillId="0" borderId="0" xfId="1614" applyNumberFormat="1" applyFont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76" fillId="33" borderId="0" xfId="0" quotePrefix="1" applyFont="1" applyFill="1" applyAlignment="1">
      <alignment horizontal="center"/>
    </xf>
    <xf numFmtId="14" fontId="95" fillId="0" borderId="0" xfId="1653" applyNumberFormat="1" applyFont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51" fillId="0" borderId="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43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2" fontId="134" fillId="44" borderId="3" xfId="2673" applyNumberFormat="1" applyFont="1" applyFill="1" applyBorder="1" applyAlignment="1">
      <alignment horizontal="center" vertical="center" wrapText="1"/>
    </xf>
    <xf numFmtId="2" fontId="134" fillId="44" borderId="39" xfId="2673" applyNumberFormat="1" applyFont="1" applyFill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43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43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1" fillId="0" borderId="44" xfId="1538" applyFont="1" applyBorder="1" applyAlignment="1">
      <alignment horizontal="left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167" fontId="153" fillId="0" borderId="0" xfId="1614" applyNumberFormat="1" applyFont="1" applyAlignment="1">
      <alignment horizontal="left" vertical="top" wrapText="1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5" fillId="35" borderId="3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0" fontId="114" fillId="33" borderId="64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18" xfId="0" applyFont="1" applyFill="1" applyBorder="1" applyAlignment="1">
      <alignment horizontal="center" vertical="center" wrapText="1"/>
    </xf>
    <xf numFmtId="0" fontId="114" fillId="33" borderId="0" xfId="0" applyFont="1" applyFill="1" applyBorder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49" fontId="114" fillId="33" borderId="50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8" fontId="119" fillId="0" borderId="73" xfId="1450" applyNumberFormat="1" applyFont="1" applyBorder="1" applyAlignment="1">
      <alignment horizontal="left" vertical="center"/>
    </xf>
    <xf numFmtId="208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0.46072551481332125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emf"/><Relationship Id="rId13" Type="http://schemas.openxmlformats.org/officeDocument/2006/relationships/image" Target="../media/image24.emf"/><Relationship Id="rId3" Type="http://schemas.openxmlformats.org/officeDocument/2006/relationships/image" Target="../media/image14.emf"/><Relationship Id="rId7" Type="http://schemas.openxmlformats.org/officeDocument/2006/relationships/image" Target="../media/image18.emf"/><Relationship Id="rId12" Type="http://schemas.openxmlformats.org/officeDocument/2006/relationships/image" Target="../media/image23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17.emf"/><Relationship Id="rId11" Type="http://schemas.openxmlformats.org/officeDocument/2006/relationships/image" Target="../media/image22.emf"/><Relationship Id="rId5" Type="http://schemas.openxmlformats.org/officeDocument/2006/relationships/image" Target="../media/image16.emf"/><Relationship Id="rId10" Type="http://schemas.openxmlformats.org/officeDocument/2006/relationships/image" Target="../media/image21.emf"/><Relationship Id="rId4" Type="http://schemas.openxmlformats.org/officeDocument/2006/relationships/image" Target="../media/image15.emf"/><Relationship Id="rId9" Type="http://schemas.openxmlformats.org/officeDocument/2006/relationships/image" Target="../media/image20.emf"/><Relationship Id="rId14" Type="http://schemas.openxmlformats.org/officeDocument/2006/relationships/image" Target="../media/image2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5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5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358583</xdr:colOff>
      <xdr:row>33</xdr:row>
      <xdr:rowOff>56027</xdr:rowOff>
    </xdr:from>
    <xdr:to>
      <xdr:col>15</xdr:col>
      <xdr:colOff>346583</xdr:colOff>
      <xdr:row>33</xdr:row>
      <xdr:rowOff>56027</xdr:rowOff>
    </xdr:to>
    <xdr:cxnSp macro="">
      <xdr:nvCxnSpPr>
        <xdr:cNvPr id="102" name="Straight Connector 101"/>
        <xdr:cNvCxnSpPr/>
      </xdr:nvCxnSpPr>
      <xdr:spPr>
        <a:xfrm flipH="1" flipV="1">
          <a:off x="4101348" y="5333998"/>
          <a:ext cx="151200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201706</xdr:colOff>
      <xdr:row>30</xdr:row>
      <xdr:rowOff>99063</xdr:rowOff>
    </xdr:from>
    <xdr:to>
      <xdr:col>19</xdr:col>
      <xdr:colOff>22411</xdr:colOff>
      <xdr:row>30</xdr:row>
      <xdr:rowOff>99063</xdr:rowOff>
    </xdr:to>
    <xdr:sp macro="" textlink="">
      <xdr:nvSpPr>
        <xdr:cNvPr id="103" name="Freeform 102"/>
        <xdr:cNvSpPr/>
      </xdr:nvSpPr>
      <xdr:spPr>
        <a:xfrm flipH="1">
          <a:off x="2420471" y="4906387"/>
          <a:ext cx="4392705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134963</xdr:colOff>
      <xdr:row>38</xdr:row>
      <xdr:rowOff>16808</xdr:rowOff>
    </xdr:from>
    <xdr:to>
      <xdr:col>15</xdr:col>
      <xdr:colOff>257731</xdr:colOff>
      <xdr:row>41</xdr:row>
      <xdr:rowOff>112060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4639728" y="6079190"/>
          <a:ext cx="884768" cy="56589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BUMDES</a:t>
          </a:r>
        </a:p>
      </xdr:txBody>
    </xdr:sp>
    <xdr:clientData/>
  </xdr:twoCellAnchor>
  <xdr:twoCellAnchor>
    <xdr:from>
      <xdr:col>26</xdr:col>
      <xdr:colOff>64112</xdr:colOff>
      <xdr:row>5</xdr:row>
      <xdr:rowOff>78441</xdr:rowOff>
    </xdr:from>
    <xdr:to>
      <xdr:col>29</xdr:col>
      <xdr:colOff>370038</xdr:colOff>
      <xdr:row>19</xdr:row>
      <xdr:rowOff>81055</xdr:rowOff>
    </xdr:to>
    <xdr:grpSp>
      <xdr:nvGrpSpPr>
        <xdr:cNvPr id="110" name="Group 109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555494" y="862853"/>
          <a:ext cx="1504956" cy="2311026"/>
          <a:chOff x="9713886" y="808452"/>
          <a:chExt cx="1342558" cy="1766630"/>
        </a:xfrm>
      </xdr:grpSpPr>
      <xdr:grpSp>
        <xdr:nvGrpSpPr>
          <xdr:cNvPr id="111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6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7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127" idx="1"/>
              <a:endCxn id="12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127" idx="3"/>
              <a:endCxn id="12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2" name="Oval 111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3" name="Group 112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72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173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173" idx="1"/>
              <a:endCxn id="173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173" idx="3"/>
              <a:endCxn id="173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4" name="Oval 113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7" name="Isosceles Triangle 136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38" name="Isosceles Triangle 137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9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71" name="TextBox 170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0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9" name="TextBox 168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70" name="Straight Connector 169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1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5" name="Straight Connector 164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6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7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8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2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162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163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Arrow Connector 149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Arrow Connector 150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2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8" name="Isosceles Triangle 157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9" name="Isosceles Triangle 158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3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263336</xdr:colOff>
      <xdr:row>18</xdr:row>
      <xdr:rowOff>134507</xdr:rowOff>
    </xdr:from>
    <xdr:to>
      <xdr:col>27</xdr:col>
      <xdr:colOff>75686</xdr:colOff>
      <xdr:row>20</xdr:row>
      <xdr:rowOff>52542</xdr:rowOff>
    </xdr:to>
    <xdr:grpSp>
      <xdr:nvGrpSpPr>
        <xdr:cNvPr id="179" name="Group 178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754718" y="3070448"/>
          <a:ext cx="249380" cy="231800"/>
          <a:chOff x="11040342" y="3026321"/>
          <a:chExt cx="251113" cy="183360"/>
        </a:xfrm>
      </xdr:grpSpPr>
      <xdr:sp macro="" textlink="">
        <xdr:nvSpPr>
          <xdr:cNvPr id="180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1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227322</xdr:colOff>
      <xdr:row>18</xdr:row>
      <xdr:rowOff>83673</xdr:rowOff>
    </xdr:from>
    <xdr:to>
      <xdr:col>29</xdr:col>
      <xdr:colOff>97435</xdr:colOff>
      <xdr:row>20</xdr:row>
      <xdr:rowOff>1708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536734" y="3019614"/>
          <a:ext cx="251113" cy="231800"/>
          <a:chOff x="11040342" y="3026321"/>
          <a:chExt cx="251113" cy="183360"/>
        </a:xfrm>
      </xdr:grpSpPr>
      <xdr:sp macro="" textlink="">
        <xdr:nvSpPr>
          <xdr:cNvPr id="183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4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106407</xdr:colOff>
      <xdr:row>32</xdr:row>
      <xdr:rowOff>128149</xdr:rowOff>
    </xdr:from>
    <xdr:to>
      <xdr:col>12</xdr:col>
      <xdr:colOff>258807</xdr:colOff>
      <xdr:row>33</xdr:row>
      <xdr:rowOff>109218</xdr:rowOff>
    </xdr:to>
    <xdr:grpSp>
      <xdr:nvGrpSpPr>
        <xdr:cNvPr id="185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230172" y="5249237"/>
          <a:ext cx="152400" cy="137952"/>
          <a:chOff x="3725636" y="1945820"/>
          <a:chExt cx="153760" cy="144237"/>
        </a:xfrm>
        <a:noFill/>
      </xdr:grpSpPr>
      <xdr:sp macro="" textlink="">
        <xdr:nvSpPr>
          <xdr:cNvPr id="186" name="Oval 185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86" idx="1"/>
            <a:endCxn id="18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86" idx="3"/>
            <a:endCxn id="18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267771</xdr:colOff>
      <xdr:row>32</xdr:row>
      <xdr:rowOff>134873</xdr:rowOff>
    </xdr:from>
    <xdr:to>
      <xdr:col>14</xdr:col>
      <xdr:colOff>291353</xdr:colOff>
      <xdr:row>38</xdr:row>
      <xdr:rowOff>22412</xdr:rowOff>
    </xdr:to>
    <xdr:cxnSp macro="">
      <xdr:nvCxnSpPr>
        <xdr:cNvPr id="194" name="Straight Connector 193"/>
        <xdr:cNvCxnSpPr>
          <a:endCxn id="196" idx="0"/>
        </xdr:cNvCxnSpPr>
      </xdr:nvCxnSpPr>
      <xdr:spPr>
        <a:xfrm flipH="1" flipV="1">
          <a:off x="5153536" y="5255961"/>
          <a:ext cx="23582" cy="82883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191571</xdr:colOff>
      <xdr:row>32</xdr:row>
      <xdr:rowOff>134873</xdr:rowOff>
    </xdr:from>
    <xdr:to>
      <xdr:col>14</xdr:col>
      <xdr:colOff>343971</xdr:colOff>
      <xdr:row>33</xdr:row>
      <xdr:rowOff>115942</xdr:rowOff>
    </xdr:to>
    <xdr:grpSp>
      <xdr:nvGrpSpPr>
        <xdr:cNvPr id="195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5077336" y="5255961"/>
          <a:ext cx="152400" cy="137952"/>
          <a:chOff x="3725636" y="1945820"/>
          <a:chExt cx="153760" cy="144237"/>
        </a:xfrm>
        <a:noFill/>
      </xdr:grpSpPr>
      <xdr:sp macro="" textlink="">
        <xdr:nvSpPr>
          <xdr:cNvPr id="196" name="Oval 195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96" idx="1"/>
            <a:endCxn id="19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96" idx="3"/>
            <a:endCxn id="19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251890</xdr:colOff>
      <xdr:row>35</xdr:row>
      <xdr:rowOff>8436</xdr:rowOff>
    </xdr:from>
    <xdr:to>
      <xdr:col>14</xdr:col>
      <xdr:colOff>372206</xdr:colOff>
      <xdr:row>35</xdr:row>
      <xdr:rowOff>117150</xdr:rowOff>
    </xdr:to>
    <xdr:grpSp>
      <xdr:nvGrpSpPr>
        <xdr:cNvPr id="204" name="Group 203"/>
        <xdr:cNvGrpSpPr/>
      </xdr:nvGrpSpPr>
      <xdr:grpSpPr>
        <a:xfrm>
          <a:off x="5137655" y="5600171"/>
          <a:ext cx="120316" cy="108714"/>
          <a:chOff x="4552393" y="5147729"/>
          <a:chExt cx="228791" cy="193248"/>
        </a:xfrm>
      </xdr:grpSpPr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08" name="Straight Connector 20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8" t="s">
        <v>1134</v>
      </c>
      <c r="C4" s="518"/>
      <c r="D4" s="518"/>
      <c r="E4" s="518"/>
      <c r="F4" s="518"/>
      <c r="G4" s="518"/>
      <c r="H4" s="51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07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9" t="s">
        <v>0</v>
      </c>
      <c r="C7" s="519" t="s">
        <v>1</v>
      </c>
      <c r="D7" s="520" t="s">
        <v>42</v>
      </c>
      <c r="E7" s="520" t="s">
        <v>43</v>
      </c>
      <c r="F7" s="520" t="s">
        <v>1135</v>
      </c>
      <c r="G7" s="521" t="s">
        <v>41</v>
      </c>
      <c r="H7" s="517" t="s">
        <v>1042</v>
      </c>
      <c r="I7" s="517" t="s">
        <v>1137</v>
      </c>
      <c r="J7" s="517" t="s">
        <v>1026</v>
      </c>
      <c r="K7" s="511" t="s">
        <v>1024</v>
      </c>
      <c r="L7" s="512"/>
    </row>
    <row r="8" spans="1:12" ht="15" customHeight="1">
      <c r="B8" s="519"/>
      <c r="C8" s="519"/>
      <c r="D8" s="520"/>
      <c r="E8" s="520"/>
      <c r="F8" s="520"/>
      <c r="G8" s="521"/>
      <c r="H8" s="517"/>
      <c r="I8" s="517"/>
      <c r="J8" s="517"/>
      <c r="K8" s="513"/>
      <c r="L8" s="514"/>
    </row>
    <row r="9" spans="1:12" ht="15" customHeight="1">
      <c r="B9" s="519"/>
      <c r="C9" s="519"/>
      <c r="D9" s="520"/>
      <c r="E9" s="520"/>
      <c r="F9" s="520"/>
      <c r="G9" s="521"/>
      <c r="H9" s="517"/>
      <c r="I9" s="517"/>
      <c r="J9" s="517"/>
      <c r="K9" s="515"/>
      <c r="L9" s="51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23 kVA MCCB 35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NFA2X 4 x 16 mm²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Mtr</v>
      </c>
      <c r="F13" s="138">
        <f t="shared" ref="F13:F76" ca="1" si="2">IF(ISERROR(OFFSET($D$713,MATCH(A13,$F$714:$F$1320,0),0)),"",OFFSET($D$713,MATCH(A13,$F$714:$F$1320,0),0))</f>
        <v>50</v>
      </c>
      <c r="G13" s="41">
        <f ca="1">IF(ISERROR(OFFSET('HARGA SATUAN'!$I$6,MATCH(C13,'HARGA SATUAN'!$C$7:$C$1492,0),0)),"",OFFSET('HARGA SATUAN'!$I$6,MATCH(C13,'HARGA SATUAN'!$C$7:$C$1492,0),0))</f>
        <v>13500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KWH MPB; 3P; 4W; 230/400 V; 5(80) A; Class 1</v>
      </c>
      <c r="D14" s="101" t="str">
        <f ca="1">IF(ISERROR(OFFSET('HARGA SATUAN'!$D$6,MATCH(C14,'HARGA SATUAN'!$C$7:$C$1492,0),0)),"",OFFSET('HARGA SATUAN'!$D$6,MATCH(C14,'HARGA SATUAN'!$C$7:$C$1492,0),0))</f>
        <v>HDW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1719200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Unit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SUMIFS(RAB!$F$14:$F$28,RAB!$C$14:$C$28,C714)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SUMIFS(RAB!$F$14:$F$28,RAB!$C$14:$C$28,C715)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SUMIFS(RAB!$F$14:$F$28,RAB!$C$14:$C$28,C716)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SUMIFS(RAB!$F$14:$F$28,RAB!$C$14:$C$28,C717)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SUMIFS(RAB!$F$14:$F$28,RAB!$C$14:$C$28,C718)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SUMIFS(RAB!$F$14:$F$28,RAB!$C$14:$C$28,C719)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SUMIFS(RAB!$F$14:$F$28,RAB!$C$14:$C$28,C720)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SUMIFS(RAB!$F$14:$F$28,RAB!$C$14:$C$28,C721)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SUMIFS(RAB!$F$14:$F$28,RAB!$C$14:$C$28,C722)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SUMIFS(RAB!$F$14:$F$28,RAB!$C$14:$C$28,C723)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SUMIFS(RAB!$F$14:$F$28,RAB!$C$14:$C$28,C724)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SUMIFS(RAB!$F$14:$F$28,RAB!$C$14:$C$28,C725)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SUMIFS(RAB!$F$14:$F$28,RAB!$C$14:$C$28,C726)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SUMIFS(RAB!$F$14:$F$28,RAB!$C$14:$C$28,C727)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SUMIFS(RAB!$F$14:$F$28,RAB!$C$14:$C$28,C728)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SUMIFS(RAB!$F$14:$F$28,RAB!$C$14:$C$28,C729)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SUMIFS(RAB!$F$14:$F$28,RAB!$C$14:$C$28,C730)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SUMIFS(RAB!$F$14:$F$28,RAB!$C$14:$C$28,C731)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SUMIFS(RAB!$F$14:$F$28,RAB!$C$14:$C$28,C732)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SUMIFS(RAB!$F$14:$F$28,RAB!$C$14:$C$28,C733)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SUMIFS(RAB!$F$14:$F$28,RAB!$C$14:$C$28,C734)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SUMIFS(RAB!$F$14:$F$28,RAB!$C$14:$C$28,C735)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SUMIFS(RAB!$F$14:$F$28,RAB!$C$14:$C$28,C736)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SUMIFS(RAB!$F$14:$F$28,RAB!$C$14:$C$28,C737)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SUMIFS(RAB!$F$14:$F$28,RAB!$C$14:$C$28,C738)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SUMIFS(RAB!$F$14:$F$28,RAB!$C$14:$C$28,C739)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SUMIFS(RAB!$F$14:$F$28,RAB!$C$14:$C$28,C740)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SUMIFS(RAB!$F$14:$F$28,RAB!$C$14:$C$28,C741)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SUMIFS(RAB!$F$14:$F$28,RAB!$C$14:$C$28,C742)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SUMIFS(RAB!$F$14:$F$28,RAB!$C$14:$C$28,C743)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SUMIFS(RAB!$F$14:$F$28,RAB!$C$14:$C$28,C744)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SUMIFS(RAB!$F$14:$F$28,RAB!$C$14:$C$28,C745)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SUMIFS(RAB!$F$14:$F$28,RAB!$C$14:$C$28,C746)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SUMIFS(RAB!$F$14:$F$28,RAB!$C$14:$C$28,C747)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SUMIFS(RAB!$F$14:$F$28,RAB!$C$14:$C$28,C748)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SUMIFS(RAB!$F$14:$F$28,RAB!$C$14:$C$28,C749)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SUMIFS(RAB!$F$14:$F$28,RAB!$C$14:$C$28,C750)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SUMIFS(RAB!$F$14:$F$28,RAB!$C$14:$C$28,C751)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SUMIFS(RAB!$F$14:$F$28,RAB!$C$14:$C$28,C752)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SUMIFS(RAB!$F$14:$F$28,RAB!$C$14:$C$28,C753)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SUMIFS(RAB!$F$14:$F$28,RAB!$C$14:$C$28,C754)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SUMIFS(RAB!$F$14:$F$28,RAB!$C$14:$C$28,C755)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SUMIFS(RAB!$F$14:$F$28,RAB!$C$14:$C$28,C756)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SUMIFS(RAB!$F$14:$F$28,RAB!$C$14:$C$28,C757)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SUMIFS(RAB!$F$14:$F$28,RAB!$C$14:$C$28,C758)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SUMIFS(RAB!$F$14:$F$28,RAB!$C$14:$C$28,C759)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SUMIFS(RAB!$F$14:$F$28,RAB!$C$14:$C$28,C760)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SUMIFS(RAB!$F$14:$F$28,RAB!$C$14:$C$28,C761)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SUMIFS(RAB!$F$14:$F$28,RAB!$C$14:$C$28,C762)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SUMIFS(RAB!$F$14:$F$28,RAB!$C$14:$C$28,C763)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SUMIFS(RAB!$F$14:$F$28,RAB!$C$14:$C$28,C764)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SUMIFS(RAB!$F$14:$F$28,RAB!$C$14:$C$28,C765)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SUMIFS(RAB!$F$14:$F$28,RAB!$C$14:$C$28,C766)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SUMIFS(RAB!$F$14:$F$28,RAB!$C$14:$C$28,C767)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SUMIFS(RAB!$F$14:$F$28,RAB!$C$14:$C$28,C768)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SUMIFS(RAB!$F$14:$F$28,RAB!$C$14:$C$28,C769)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SUMIFS(RAB!$F$14:$F$28,RAB!$C$14:$C$28,C770)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SUMIFS(RAB!$F$14:$F$28,RAB!$C$14:$C$28,C771)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SUMIFS(RAB!$F$14:$F$28,RAB!$C$14:$C$28,C772)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SUMIFS(RAB!$F$14:$F$28,RAB!$C$14:$C$28,C773)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SUMIFS(RAB!$F$14:$F$28,RAB!$C$14:$C$28,C774)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SUMIFS(RAB!$F$14:$F$28,RAB!$C$14:$C$28,C775)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SUMIFS(RAB!$F$14:$F$28,RAB!$C$14:$C$28,C776)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SUMIFS(RAB!$F$14:$F$28,RAB!$C$14:$C$28,C777)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SUMIFS(RAB!$F$14:$F$28,RAB!$C$14:$C$28,C778)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SUMIFS(RAB!$F$14:$F$28,RAB!$C$14:$C$28,C779)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SUMIFS(RAB!$F$14:$F$28,RAB!$C$14:$C$28,C780)</f>
        <v>1</v>
      </c>
      <c r="E780" s="26">
        <f t="shared" ca="1" si="34"/>
        <v>1</v>
      </c>
      <c r="F780" s="26">
        <f ca="1">IF(D780=0,0,SUM($E$713:E780))</f>
        <v>1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SUMIFS(RAB!$F$14:$F$28,RAB!$C$14:$C$28,C781)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SUMIFS(RAB!$F$14:$F$28,RAB!$C$14:$C$28,C782)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SUMIFS(RAB!$F$14:$F$28,RAB!$C$14:$C$28,C783)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SUMIFS(RAB!$F$14:$F$28,RAB!$C$14:$C$28,C784)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SUMIFS(RAB!$F$14:$F$28,RAB!$C$14:$C$28,C785)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SUMIFS(RAB!$F$14:$F$28,RAB!$C$14:$C$28,C786)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SUMIFS(RAB!$F$14:$F$28,RAB!$C$14:$C$28,C787)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SUMIFS(RAB!$F$14:$F$28,RAB!$C$14:$C$28,C788)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SUMIFS(RAB!$F$14:$F$28,RAB!$C$14:$C$28,C789)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SUMIFS(RAB!$F$14:$F$28,RAB!$C$14:$C$28,C790)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SUMIFS(RAB!$F$14:$F$28,RAB!$C$14:$C$28,C791)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SUMIFS(RAB!$F$14:$F$28,RAB!$C$14:$C$28,C792)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SUMIFS(RAB!$F$14:$F$28,RAB!$C$14:$C$28,C793)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SUMIFS(RAB!$F$14:$F$28,RAB!$C$14:$C$28,C794)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SUMIFS(RAB!$F$14:$F$28,RAB!$C$14:$C$28,C795)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SUMIFS(RAB!$F$14:$F$28,RAB!$C$14:$C$28,C796)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SUMIFS(RAB!$F$14:$F$28,RAB!$C$14:$C$28,C797)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SUMIFS(RAB!$F$14:$F$28,RAB!$C$14:$C$28,C798)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SUMIFS(RAB!$F$14:$F$28,RAB!$C$14:$C$28,C799)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SUMIFS(RAB!$F$14:$F$28,RAB!$C$14:$C$28,C800)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SUMIFS(RAB!$F$14:$F$28,RAB!$C$14:$C$28,C801)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SUMIFS(RAB!$F$14:$F$28,RAB!$C$14:$C$28,C802)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SUMIFS(RAB!$F$14:$F$28,RAB!$C$14:$C$28,C803)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SUMIFS(RAB!$F$14:$F$28,RAB!$C$14:$C$28,C804)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SUMIFS(RAB!$F$14:$F$28,RAB!$C$14:$C$28,C805)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SUMIFS(RAB!$F$14:$F$28,RAB!$C$14:$C$28,C806)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SUMIFS(RAB!$F$14:$F$28,RAB!$C$14:$C$28,C807)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SUMIFS(RAB!$F$14:$F$28,RAB!$C$14:$C$28,C808)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SUMIFS(RAB!$F$14:$F$28,RAB!$C$14:$C$28,C809)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SUMIFS(RAB!$F$14:$F$28,RAB!$C$14:$C$28,C810)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SUMIFS(RAB!$F$14:$F$28,RAB!$C$14:$C$28,C811)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SUMIFS(RAB!$F$14:$F$28,RAB!$C$14:$C$28,C812)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SUMIFS(RAB!$F$14:$F$28,RAB!$C$14:$C$28,C813)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SUMIFS(RAB!$F$14:$F$28,RAB!$C$14:$C$28,C814)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SUMIFS(RAB!$F$14:$F$28,RAB!$C$14:$C$28,C815)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SUMIFS(RAB!$F$14:$F$28,RAB!$C$14:$C$28,C816)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SUMIFS(RAB!$F$14:$F$28,RAB!$C$14:$C$28,C817)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SUMIFS(RAB!$F$14:$F$28,RAB!$C$14:$C$28,C818)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SUMIFS(RAB!$F$14:$F$28,RAB!$C$14:$C$28,C819)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SUMIFS(RAB!$F$14:$F$28,RAB!$C$14:$C$28,C820)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SUMIFS(RAB!$F$14:$F$28,RAB!$C$14:$C$28,C821)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SUMIFS(RAB!$F$14:$F$28,RAB!$C$14:$C$28,C822)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SUMIFS(RAB!$F$14:$F$28,RAB!$C$14:$C$28,C823)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SUMIFS(RAB!$F$14:$F$28,RAB!$C$14:$C$28,C824)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SUMIFS(RAB!$F$14:$F$28,RAB!$C$14:$C$28,C825)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SUMIFS(RAB!$F$14:$F$28,RAB!$C$14:$C$28,C826)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SUMIFS(RAB!$F$14:$F$28,RAB!$C$14:$C$28,C827)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SUMIFS(RAB!$F$14:$F$28,RAB!$C$14:$C$28,C828)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SUMIFS(RAB!$F$14:$F$28,RAB!$C$14:$C$28,C829)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SUMIFS(RAB!$F$14:$F$28,RAB!$C$14:$C$28,C830)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SUMIFS(RAB!$F$14:$F$28,RAB!$C$14:$C$28,C831)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SUMIFS(RAB!$F$14:$F$28,RAB!$C$14:$C$28,C832)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SUMIFS(RAB!$F$14:$F$28,RAB!$C$14:$C$28,C833)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SUMIFS(RAB!$F$14:$F$28,RAB!$C$14:$C$28,C834)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SUMIFS(RAB!$F$14:$F$28,RAB!$C$14:$C$28,C835)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SUMIFS(RAB!$F$14:$F$28,RAB!$C$14:$C$28,C836)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SUMIFS(RAB!$F$14:$F$28,RAB!$C$14:$C$28,C837)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SUMIFS(RAB!$F$14:$F$28,RAB!$C$14:$C$28,C838)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SUMIFS(RAB!$F$14:$F$28,RAB!$C$14:$C$28,C839)</f>
        <v>50</v>
      </c>
      <c r="E839" s="26">
        <f t="shared" ca="1" si="34"/>
        <v>1</v>
      </c>
      <c r="F839" s="26">
        <f ca="1">IF(D839=0,0,SUM($E$713:E839))</f>
        <v>2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SUMIFS(RAB!$F$14:$F$28,RAB!$C$14:$C$28,C840)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SUMIFS(RAB!$F$14:$F$28,RAB!$C$14:$C$28,C841)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SUMIFS(RAB!$F$14:$F$28,RAB!$C$14:$C$28,C842)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SUMIFS(RAB!$F$14:$F$28,RAB!$C$14:$C$28,C843)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SUMIFS(RAB!$F$14:$F$28,RAB!$C$14:$C$28,C844)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SUMIFS(RAB!$F$14:$F$28,RAB!$C$14:$C$28,C845)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SUMIFS(RAB!$F$14:$F$28,RAB!$C$14:$C$28,C846)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SUMIFS(RAB!$F$14:$F$28,RAB!$C$14:$C$28,C847)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SUMIFS(RAB!$F$14:$F$28,RAB!$C$14:$C$28,C848)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SUMIFS(RAB!$F$14:$F$28,RAB!$C$14:$C$28,C849)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SUMIFS(RAB!$F$14:$F$28,RAB!$C$14:$C$28,C850)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SUMIFS(RAB!$F$14:$F$28,RAB!$C$14:$C$28,C851)</f>
        <v>1</v>
      </c>
      <c r="E851" s="26">
        <f t="shared" ca="1" si="35"/>
        <v>1</v>
      </c>
      <c r="F851" s="26">
        <f ca="1">IF(D851=0,0,SUM($E$713:E851))</f>
        <v>3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SUMIFS(RAB!$F$14:$F$28,RAB!$C$14:$C$28,C852)</f>
        <v>1</v>
      </c>
      <c r="E852" s="26">
        <f t="shared" ca="1" si="35"/>
        <v>1</v>
      </c>
      <c r="F852" s="26">
        <f ca="1">IF(D852=0,0,SUM($E$713:E852))</f>
        <v>4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SUMIFS(RAB!$F$14:$F$28,RAB!$C$14:$C$28,C853)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SUMIFS(RAB!$F$14:$F$28,RAB!$C$14:$C$28,C854)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SUMIFS(RAB!$F$14:$F$28,RAB!$C$14:$C$28,C855)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SUMIFS(RAB!$F$14:$F$28,RAB!$C$14:$C$28,C856)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SUMIFS(RAB!$F$14:$F$28,RAB!$C$14:$C$28,C857)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SUMIFS(RAB!$F$14:$F$28,RAB!$C$14:$C$28,C858)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SUMIFS(RAB!$F$14:$F$28,RAB!$C$14:$C$28,C859)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SUMIFS(RAB!$F$14:$F$28,RAB!$C$14:$C$28,C860)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SUMIFS(RAB!$F$14:$F$28,RAB!$C$14:$C$28,C861)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SUMIFS(RAB!$F$14:$F$28,RAB!$C$14:$C$28,C862)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SUMIFS(RAB!$F$14:$F$28,RAB!$C$14:$C$28,C863)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SUMIFS(RAB!$F$14:$F$28,RAB!$C$14:$C$28,C864)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SUMIFS(RAB!$F$14:$F$28,RAB!$C$14:$C$28,C865)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SUMIFS(RAB!$F$14:$F$28,RAB!$C$14:$C$28,C866)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SUMIFS(RAB!$F$14:$F$28,RAB!$C$14:$C$28,C867)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SUMIFS(RAB!$F$14:$F$28,RAB!$C$14:$C$28,C868)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SUMIFS(RAB!$F$14:$F$28,RAB!$C$14:$C$28,C869)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SUMIFS(RAB!$F$14:$F$28,RAB!$C$14:$C$28,C870)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SUMIFS(RAB!$F$14:$F$28,RAB!$C$14:$C$28,C871)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SUMIFS(RAB!$F$14:$F$28,RAB!$C$14:$C$28,C872)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SUMIFS(RAB!$F$14:$F$28,RAB!$C$14:$C$28,C873)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SUMIFS(RAB!$F$14:$F$28,RAB!$C$14:$C$28,C874)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SUMIFS(RAB!$F$14:$F$28,RAB!$C$14:$C$28,C875)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SUMIFS(RAB!$F$14:$F$28,RAB!$C$14:$C$28,C876)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SUMIFS(RAB!$F$14:$F$28,RAB!$C$14:$C$28,C877)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SUMIFS(RAB!$F$14:$F$28,RAB!$C$14:$C$28,C878)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SUMIFS(RAB!$F$14:$F$28,RAB!$C$14:$C$28,C879)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SUMIFS(RAB!$F$14:$F$28,RAB!$C$14:$C$28,C880)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SUMIFS(RAB!$F$14:$F$28,RAB!$C$14:$C$28,C881)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SUMIFS(RAB!$F$14:$F$28,RAB!$C$14:$C$28,C882)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SUMIFS(RAB!$F$14:$F$28,RAB!$C$14:$C$28,C883)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SUMIFS(RAB!$F$14:$F$28,RAB!$C$14:$C$28,C884)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SUMIFS(RAB!$F$14:$F$28,RAB!$C$14:$C$28,C885)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SUMIFS(RAB!$F$14:$F$28,RAB!$C$14:$C$28,C886)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SUMIFS(RAB!$F$14:$F$28,RAB!$C$14:$C$28,C887)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SUMIFS(RAB!$F$14:$F$28,RAB!$C$14:$C$28,C888)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SUMIFS(RAB!$F$14:$F$28,RAB!$C$14:$C$28,C889)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SUMIFS(RAB!$F$14:$F$28,RAB!$C$14:$C$28,C890)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SUMIFS(RAB!$F$14:$F$28,RAB!$C$14:$C$28,C891)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SUMIFS(RAB!$F$14:$F$28,RAB!$C$14:$C$28,C892)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SUMIFS(RAB!$F$14:$F$28,RAB!$C$14:$C$28,C893)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SUMIFS(RAB!$F$14:$F$28,RAB!$C$14:$C$28,C894)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SUMIFS(RAB!$F$14:$F$28,RAB!$C$14:$C$28,C895)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SUMIFS(RAB!$F$14:$F$28,RAB!$C$14:$C$28,C896)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SUMIFS(RAB!$F$14:$F$28,RAB!$C$14:$C$28,C897)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SUMIFS(RAB!$F$14:$F$28,RAB!$C$14:$C$28,C898)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SUMIFS(RAB!$F$14:$F$28,RAB!$C$14:$C$28,C899)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SUMIFS(RAB!$F$14:$F$28,RAB!$C$14:$C$28,C900)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SUMIFS(RAB!$F$14:$F$28,RAB!$C$14:$C$28,C901)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SUMIFS(RAB!$F$14:$F$28,RAB!$C$14:$C$28,C902)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SUMIFS(RAB!$F$14:$F$28,RAB!$C$14:$C$28,C903)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SUMIFS(RAB!$F$14:$F$28,RAB!$C$14:$C$28,C904)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SUMIFS(RAB!$F$14:$F$28,RAB!$C$14:$C$28,C905)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SUMIFS(RAB!$F$14:$F$28,RAB!$C$14:$C$28,C906)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SUMIFS(RAB!$F$14:$F$28,RAB!$C$14:$C$28,C907)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SUMIFS(RAB!$F$14:$F$28,RAB!$C$14:$C$28,C908)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SUMIFS(RAB!$F$14:$F$28,RAB!$C$14:$C$28,C909)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SUMIFS(RAB!$F$14:$F$28,RAB!$C$14:$C$28,C910)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SUMIFS(RAB!$F$14:$F$28,RAB!$C$14:$C$28,C911)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SUMIFS(RAB!$F$14:$F$28,RAB!$C$14:$C$28,C912)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SUMIFS(RAB!$F$14:$F$28,RAB!$C$14:$C$28,C913)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SUMIFS(RAB!$F$14:$F$28,RAB!$C$14:$C$28,C914)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SUMIFS(RAB!$F$14:$F$28,RAB!$C$14:$C$28,C915)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SUMIFS(RAB!$F$14:$F$28,RAB!$C$14:$C$28,C916)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SUMIFS(RAB!$F$14:$F$28,RAB!$C$14:$C$28,C917)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SUMIFS(RAB!$F$14:$F$28,RAB!$C$14:$C$28,C918)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SUMIFS(RAB!$F$14:$F$28,RAB!$C$14:$C$28,C919)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SUMIFS(RAB!$F$14:$F$28,RAB!$C$14:$C$28,C920)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SUMIFS(RAB!$F$14:$F$28,RAB!$C$14:$C$28,C921)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SUMIFS(RAB!$F$14:$F$28,RAB!$C$14:$C$28,C922)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SUMIFS(RAB!$F$14:$F$28,RAB!$C$14:$C$28,C923)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SUMIFS(RAB!$F$14:$F$28,RAB!$C$14:$C$28,C924)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SUMIFS(RAB!$F$14:$F$28,RAB!$C$14:$C$28,C925)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SUMIFS(RAB!$F$14:$F$28,RAB!$C$14:$C$28,C926)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SUMIFS(RAB!$F$14:$F$28,RAB!$C$14:$C$28,C927)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SUMIFS(RAB!$F$14:$F$28,RAB!$C$14:$C$28,C928)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SUMIFS(RAB!$F$14:$F$28,RAB!$C$14:$C$28,C929)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SUMIFS(RAB!$F$14:$F$28,RAB!$C$14:$C$28,C930)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SUMIFS(RAB!$F$14:$F$28,RAB!$C$14:$C$28,C931)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SUMIFS(RAB!$F$14:$F$28,RAB!$C$14:$C$28,C932)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SUMIFS(RAB!$F$14:$F$28,RAB!$C$14:$C$28,C933)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SUMIFS(RAB!$F$14:$F$28,RAB!$C$14:$C$28,C934)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SUMIFS(RAB!$F$14:$F$28,RAB!$C$14:$C$28,C935)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SUMIFS(RAB!$F$14:$F$28,RAB!$C$14:$C$28,C936)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SUMIFS(RAB!$F$14:$F$28,RAB!$C$14:$C$28,C937)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SUMIFS(RAB!$F$14:$F$28,RAB!$C$14:$C$28,C938)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SUMIFS(RAB!$F$14:$F$28,RAB!$C$14:$C$28,C939)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SUMIFS(RAB!$F$14:$F$28,RAB!$C$14:$C$28,C940)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SUMIFS(RAB!$F$14:$F$28,RAB!$C$14:$C$28,C941)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SUMIFS(RAB!$F$14:$F$28,RAB!$C$14:$C$28,C942)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SUMIFS(RAB!$F$14:$F$28,RAB!$C$14:$C$28,C943)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SUMIFS(RAB!$F$14:$F$28,RAB!$C$14:$C$28,C944)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SUMIFS(RAB!$F$14:$F$28,RAB!$C$14:$C$28,C945)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SUMIFS(RAB!$F$14:$F$28,RAB!$C$14:$C$28,C946)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SUMIFS(RAB!$F$14:$F$28,RAB!$C$14:$C$28,C947)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SUMIFS(RAB!$F$14:$F$28,RAB!$C$14:$C$28,C948)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SUMIFS(RAB!$F$14:$F$28,RAB!$C$14:$C$28,C949)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SUMIFS(RAB!$F$14:$F$28,RAB!$C$14:$C$28,C950)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SUMIFS(RAB!$F$14:$F$28,RAB!$C$14:$C$28,C951)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SUMIFS(RAB!$F$14:$F$28,RAB!$C$14:$C$28,C952)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SUMIFS(RAB!$F$14:$F$28,RAB!$C$14:$C$28,C953)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SUMIFS(RAB!$F$14:$F$28,RAB!$C$14:$C$28,C954)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SUMIFS(RAB!$F$14:$F$28,RAB!$C$14:$C$28,C955)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SUMIFS(RAB!$F$14:$F$28,RAB!$C$14:$C$28,C956)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SUMIFS(RAB!$F$14:$F$28,RAB!$C$14:$C$28,C957)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SUMIFS(RAB!$F$14:$F$28,RAB!$C$14:$C$28,C958)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SUMIFS(RAB!$F$14:$F$28,RAB!$C$14:$C$28,C959)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SUMIFS(RAB!$F$14:$F$28,RAB!$C$14:$C$28,C960)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SUMIFS(RAB!$F$14:$F$28,RAB!$C$14:$C$28,C961)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SUMIFS(RAB!$F$14:$F$28,RAB!$C$14:$C$28,C962)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SUMIFS(RAB!$F$14:$F$28,RAB!$C$14:$C$28,C963)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SUMIFS(RAB!$F$14:$F$28,RAB!$C$14:$C$28,C964)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SUMIFS(RAB!$F$14:$F$28,RAB!$C$14:$C$28,C965)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SUMIFS(RAB!$F$14:$F$28,RAB!$C$14:$C$28,C966)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SUMIFS(RAB!$F$14:$F$28,RAB!$C$14:$C$28,C967)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SUMIFS(RAB!$F$14:$F$28,RAB!$C$14:$C$28,C968)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SUMIFS(RAB!$F$14:$F$28,RAB!$C$14:$C$28,C969)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SUMIFS(RAB!$F$14:$F$28,RAB!$C$14:$C$28,C970)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SUMIFS(RAB!$F$14:$F$28,RAB!$C$14:$C$28,C971)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SUMIFS(RAB!$F$14:$F$28,RAB!$C$14:$C$28,C972)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SUMIFS(RAB!$F$14:$F$28,RAB!$C$14:$C$28,C973)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SUMIFS(RAB!$F$14:$F$28,RAB!$C$14:$C$28,C974)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SUMIFS(RAB!$F$14:$F$28,RAB!$C$14:$C$28,C975)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SUMIFS(RAB!$F$14:$F$28,RAB!$C$14:$C$28,C976)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SUMIFS(RAB!$F$14:$F$28,RAB!$C$14:$C$28,C977)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SUMIFS(RAB!$F$14:$F$28,RAB!$C$14:$C$28,C978)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SUMIFS(RAB!$F$14:$F$28,RAB!$C$14:$C$28,C979)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SUMIFS(RAB!$F$14:$F$28,RAB!$C$14:$C$28,C980)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SUMIFS(RAB!$F$14:$F$28,RAB!$C$14:$C$28,C981)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SUMIFS(RAB!$F$14:$F$28,RAB!$C$14:$C$28,C982)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SUMIFS(RAB!$F$14:$F$28,RAB!$C$14:$C$28,C983)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SUMIFS(RAB!$F$14:$F$28,RAB!$C$14:$C$28,C984)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SUMIFS(RAB!$F$14:$F$28,RAB!$C$14:$C$28,C985)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SUMIFS(RAB!$F$14:$F$28,RAB!$C$14:$C$28,C986)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SUMIFS(RAB!$F$14:$F$28,RAB!$C$14:$C$28,C987)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SUMIFS(RAB!$F$14:$F$28,RAB!$C$14:$C$28,C988)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SUMIFS(RAB!$F$14:$F$28,RAB!$C$14:$C$28,C989)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SUMIFS(RAB!$F$14:$F$28,RAB!$C$14:$C$28,C990)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SUMIFS(RAB!$F$14:$F$28,RAB!$C$14:$C$28,C991)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SUMIFS(RAB!$F$14:$F$28,RAB!$C$14:$C$28,C992)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SUMIFS(RAB!$F$14:$F$28,RAB!$C$14:$C$28,C993)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SUMIFS(RAB!$F$14:$F$28,RAB!$C$14:$C$28,C994)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SUMIFS(RAB!$F$14:$F$28,RAB!$C$14:$C$28,C995)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SUMIFS(RAB!$F$14:$F$28,RAB!$C$14:$C$28,C996)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SUMIFS(RAB!$F$14:$F$28,RAB!$C$14:$C$28,C997)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SUMIFS(RAB!$F$14:$F$28,RAB!$C$14:$C$28,C998)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SUMIFS(RAB!$F$14:$F$28,RAB!$C$14:$C$28,C999)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SUMIFS(RAB!$F$14:$F$28,RAB!$C$14:$C$28,C1000)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SUMIFS(RAB!$F$14:$F$28,RAB!$C$14:$C$28,C1001)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SUMIFS(RAB!$F$14:$F$28,RAB!$C$14:$C$28,C1002)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SUMIFS(RAB!$F$14:$F$28,RAB!$C$14:$C$28,C1003)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SUMIFS(RAB!$F$14:$F$28,RAB!$C$14:$C$28,C1004)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SUMIFS(RAB!$F$14:$F$28,RAB!$C$14:$C$28,C1005)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SUMIFS(RAB!$F$14:$F$28,RAB!$C$14:$C$28,C1006)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SUMIFS(RAB!$F$14:$F$28,RAB!$C$14:$C$28,C1007)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SUMIFS(RAB!$F$14:$F$28,RAB!$C$14:$C$28,C1008)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SUMIFS(RAB!$F$14:$F$28,RAB!$C$14:$C$28,C1009)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SUMIFS(RAB!$F$14:$F$28,RAB!$C$14:$C$28,C1010)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SUMIFS(RAB!$F$14:$F$28,RAB!$C$14:$C$28,C1011)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SUMIFS(RAB!$F$14:$F$28,RAB!$C$14:$C$28,C1012)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SUMIFS(RAB!$F$14:$F$28,RAB!$C$14:$C$28,C1013)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SUMIFS(RAB!$F$14:$F$28,RAB!$C$14:$C$28,C1014)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SUMIFS(RAB!$F$14:$F$28,RAB!$C$14:$C$28,C1015)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SUMIFS(RAB!$F$14:$F$28,RAB!$C$14:$C$28,C1016)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SUMIFS(RAB!$F$14:$F$28,RAB!$C$14:$C$28,C1017)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SUMIFS(RAB!$F$14:$F$28,RAB!$C$14:$C$28,C1018)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SUMIFS(RAB!$F$14:$F$28,RAB!$C$14:$C$28,C1019)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SUMIFS(RAB!$F$14:$F$28,RAB!$C$14:$C$28,C1020)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SUMIFS(RAB!$F$14:$F$28,RAB!$C$14:$C$28,C1021)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SUMIFS(RAB!$F$14:$F$28,RAB!$C$14:$C$28,C1022)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SUMIFS(RAB!$F$14:$F$28,RAB!$C$14:$C$28,C1023)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SUMIFS(RAB!$F$14:$F$28,RAB!$C$14:$C$28,C1024)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SUMIFS(RAB!$F$14:$F$28,RAB!$C$14:$C$28,C1025)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SUMIFS(RAB!$F$14:$F$28,RAB!$C$14:$C$28,C1026)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SUMIFS(RAB!$F$14:$F$28,RAB!$C$14:$C$28,C1027)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SUMIFS(RAB!$F$14:$F$28,RAB!$C$14:$C$28,C1028)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SUMIFS(RAB!$F$14:$F$28,RAB!$C$14:$C$28,C1029)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SUMIFS(RAB!$F$14:$F$28,RAB!$C$14:$C$28,C1030)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SUMIFS(RAB!$F$14:$F$28,RAB!$C$14:$C$28,C1031)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SUMIFS(RAB!$F$14:$F$28,RAB!$C$14:$C$28,C1032)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SUMIFS(RAB!$F$14:$F$28,RAB!$C$14:$C$28,C1033)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SUMIFS(RAB!$F$14:$F$28,RAB!$C$14:$C$28,C1034)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SUMIFS(RAB!$F$14:$F$28,RAB!$C$14:$C$28,C1035)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SUMIFS(RAB!$F$14:$F$28,RAB!$C$14:$C$28,C1036)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SUMIFS(RAB!$F$14:$F$28,RAB!$C$14:$C$28,C1037)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SUMIFS(RAB!$F$14:$F$28,RAB!$C$14:$C$28,C1038)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SUMIFS(RAB!$F$14:$F$28,RAB!$C$14:$C$28,C1039)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SUMIFS(RAB!$F$14:$F$28,RAB!$C$14:$C$28,C1040)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SUMIFS(RAB!$F$14:$F$28,RAB!$C$14:$C$28,C1041)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SUMIFS(RAB!$F$14:$F$28,RAB!$C$14:$C$28,C1042)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SUMIFS(RAB!$F$14:$F$28,RAB!$C$14:$C$28,C1043)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SUMIFS(RAB!$F$14:$F$28,RAB!$C$14:$C$28,C1044)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SUMIFS(RAB!$F$14:$F$28,RAB!$C$14:$C$28,C1045)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SUMIFS(RAB!$F$14:$F$28,RAB!$C$14:$C$28,C1046)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SUMIFS(RAB!$F$14:$F$28,RAB!$C$14:$C$28,C1047)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SUMIFS(RAB!$F$14:$F$28,RAB!$C$14:$C$28,C1048)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SUMIFS(RAB!$F$14:$F$28,RAB!$C$14:$C$28,C1049)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SUMIFS(RAB!$F$14:$F$28,RAB!$C$14:$C$28,C1050)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SUMIFS(RAB!$F$14:$F$28,RAB!$C$14:$C$28,C1051)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SUMIFS(RAB!$F$14:$F$28,RAB!$C$14:$C$28,C1052)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SUMIFS(RAB!$F$14:$F$28,RAB!$C$14:$C$28,C1053)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SUMIFS(RAB!$F$14:$F$28,RAB!$C$14:$C$28,C1054)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SUMIFS(RAB!$F$14:$F$28,RAB!$C$14:$C$28,C1055)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SUMIFS(RAB!$F$14:$F$28,RAB!$C$14:$C$28,C1056)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SUMIFS(RAB!$F$14:$F$28,RAB!$C$14:$C$28,C1057)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SUMIFS(RAB!$F$14:$F$28,RAB!$C$14:$C$28,C1058)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SUMIFS(RAB!$F$14:$F$28,RAB!$C$14:$C$28,C1059)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SUMIFS(RAB!$F$14:$F$28,RAB!$C$14:$C$28,C1060)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SUMIFS(RAB!$F$14:$F$28,RAB!$C$14:$C$28,C1061)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SUMIFS(RAB!$F$14:$F$28,RAB!$C$14:$C$28,C1062)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SUMIFS(RAB!$F$14:$F$28,RAB!$C$14:$C$28,C1063)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SUMIFS(RAB!$F$14:$F$28,RAB!$C$14:$C$28,C1064)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SUMIFS(RAB!$F$14:$F$28,RAB!$C$14:$C$28,C1065)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SUMIFS(RAB!$F$14:$F$28,RAB!$C$14:$C$28,C1066)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SUMIFS(RAB!$F$14:$F$28,RAB!$C$14:$C$28,C1067)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SUMIFS(RAB!$F$14:$F$28,RAB!$C$14:$C$28,C1068)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SUMIFS(RAB!$F$14:$F$28,RAB!$C$14:$C$28,C1069)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SUMIFS(RAB!$F$14:$F$28,RAB!$C$14:$C$28,C1070)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SUMIFS(RAB!$F$14:$F$28,RAB!$C$14:$C$28,C1071)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SUMIFS(RAB!$F$14:$F$28,RAB!$C$14:$C$28,C1072)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SUMIFS(RAB!$F$14:$F$28,RAB!$C$14:$C$28,C1073)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SUMIFS(RAB!$F$14:$F$28,RAB!$C$14:$C$28,C1074)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SUMIFS(RAB!$F$14:$F$28,RAB!$C$14:$C$28,C1075)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SUMIFS(RAB!$F$14:$F$28,RAB!$C$14:$C$28,C1076)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SUMIFS(RAB!$F$14:$F$28,RAB!$C$14:$C$28,C1077)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SUMIFS(RAB!$F$14:$F$28,RAB!$C$14:$C$28,C1078)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SUMIFS(RAB!$F$14:$F$28,RAB!$C$14:$C$28,C1079)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SUMIFS(RAB!$F$14:$F$28,RAB!$C$14:$C$28,C1080)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SUMIFS(RAB!$F$14:$F$28,RAB!$C$14:$C$28,C1081)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SUMIFS(RAB!$F$14:$F$28,RAB!$C$14:$C$28,C1082)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SUMIFS(RAB!$F$14:$F$28,RAB!$C$14:$C$28,C1083)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SUMIFS(RAB!$F$14:$F$28,RAB!$C$14:$C$28,C1084)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SUMIFS(RAB!$F$14:$F$28,RAB!$C$14:$C$28,C1085)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SUMIFS(RAB!$F$14:$F$28,RAB!$C$14:$C$28,C1086)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SUMIFS(RAB!$F$14:$F$28,RAB!$C$14:$C$28,C1087)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SUMIFS(RAB!$F$14:$F$28,RAB!$C$14:$C$28,C1088)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SUMIFS(RAB!$F$14:$F$28,RAB!$C$14:$C$28,C1089)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SUMIFS(RAB!$F$14:$F$28,RAB!$C$14:$C$28,C1090)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SUMIFS(RAB!$F$14:$F$28,RAB!$C$14:$C$28,C1091)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SUMIFS(RAB!$F$14:$F$28,RAB!$C$14:$C$28,C1092)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SUMIFS(RAB!$F$14:$F$28,RAB!$C$14:$C$28,C1093)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SUMIFS(RAB!$F$14:$F$28,RAB!$C$14:$C$28,C1094)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SUMIFS(RAB!$F$14:$F$28,RAB!$C$14:$C$28,C1095)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SUMIFS(RAB!$F$14:$F$28,RAB!$C$14:$C$28,C1096)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SUMIFS(RAB!$F$14:$F$28,RAB!$C$14:$C$28,C1097)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SUMIFS(RAB!$F$14:$F$28,RAB!$C$14:$C$28,C1098)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SUMIFS(RAB!$F$14:$F$28,RAB!$C$14:$C$28,C1099)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SUMIFS(RAB!$F$14:$F$28,RAB!$C$14:$C$28,C1100)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SUMIFS(RAB!$F$14:$F$28,RAB!$C$14:$C$28,C1101)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SUMIFS(RAB!$F$14:$F$28,RAB!$C$14:$C$28,C1102)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SUMIFS(RAB!$F$14:$F$28,RAB!$C$14:$C$28,C1103)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SUMIFS(RAB!$F$14:$F$28,RAB!$C$14:$C$28,C1104)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SUMIFS(RAB!$F$14:$F$28,RAB!$C$14:$C$28,C1105)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SUMIFS(RAB!$F$14:$F$28,RAB!$C$14:$C$28,C1106)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SUMIFS(RAB!$F$14:$F$28,RAB!$C$14:$C$28,C1107)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SUMIFS(RAB!$F$14:$F$28,RAB!$C$14:$C$28,C1108)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SUMIFS(RAB!$F$14:$F$28,RAB!$C$14:$C$28,C1109)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SUMIFS(RAB!$F$14:$F$28,RAB!$C$14:$C$28,C1110)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SUMIFS(RAB!$F$14:$F$28,RAB!$C$14:$C$28,C1111)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SUMIFS(RAB!$F$14:$F$28,RAB!$C$14:$C$28,C1112)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SUMIFS(RAB!$F$14:$F$28,RAB!$C$14:$C$28,C1113)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SUMIFS(RAB!$F$14:$F$28,RAB!$C$14:$C$28,C1114)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SUMIFS(RAB!$F$14:$F$28,RAB!$C$14:$C$28,C1115)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SUMIFS(RAB!$F$14:$F$28,RAB!$C$14:$C$28,C1116)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SUMIFS(RAB!$F$14:$F$28,RAB!$C$14:$C$28,C1117)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SUMIFS(RAB!$F$14:$F$28,RAB!$C$14:$C$28,C1118)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SUMIFS(RAB!$F$14:$F$28,RAB!$C$14:$C$28,C1119)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SUMIFS(RAB!$F$14:$F$28,RAB!$C$14:$C$28,C1120)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SUMIFS(RAB!$F$14:$F$28,RAB!$C$14:$C$28,C1121)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SUMIFS(RAB!$F$14:$F$28,RAB!$C$14:$C$28,C1122)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SUMIFS(RAB!$F$14:$F$28,RAB!$C$14:$C$28,C1123)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SUMIFS(RAB!$F$14:$F$28,RAB!$C$14:$C$28,C1124)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SUMIFS(RAB!$F$14:$F$28,RAB!$C$14:$C$28,C1125)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SUMIFS(RAB!$F$14:$F$28,RAB!$C$14:$C$28,C1126)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SUMIFS(RAB!$F$14:$F$28,RAB!$C$14:$C$28,C1127)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SUMIFS(RAB!$F$14:$F$28,RAB!$C$14:$C$28,C1128)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SUMIFS(RAB!$F$14:$F$28,RAB!$C$14:$C$28,C1129)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SUMIFS(RAB!$F$14:$F$28,RAB!$C$14:$C$28,C1130)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SUMIFS(RAB!$F$14:$F$28,RAB!$C$14:$C$28,C1131)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SUMIFS(RAB!$F$14:$F$28,RAB!$C$14:$C$28,C1132)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SUMIFS(RAB!$F$14:$F$28,RAB!$C$14:$C$28,C1133)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SUMIFS(RAB!$F$14:$F$28,RAB!$C$14:$C$28,C1134)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SUMIFS(RAB!$F$14:$F$28,RAB!$C$14:$C$28,C1135)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SUMIFS(RAB!$F$14:$F$28,RAB!$C$14:$C$28,C1136)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SUMIFS(RAB!$F$14:$F$28,RAB!$C$14:$C$28,C1137)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SUMIFS(RAB!$F$14:$F$28,RAB!$C$14:$C$28,C1138)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SUMIFS(RAB!$F$14:$F$28,RAB!$C$14:$C$28,C1139)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SUMIFS(RAB!$F$14:$F$28,RAB!$C$14:$C$28,C1140)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SUMIFS(RAB!$F$14:$F$28,RAB!$C$14:$C$28,C1141)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SUMIFS(RAB!$F$14:$F$28,RAB!$C$14:$C$28,C1142)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SUMIFS(RAB!$F$14:$F$28,RAB!$C$14:$C$28,C1143)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SUMIFS(RAB!$F$14:$F$28,RAB!$C$14:$C$28,C1144)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SUMIFS(RAB!$F$14:$F$28,RAB!$C$14:$C$28,C1145)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SUMIFS(RAB!$F$14:$F$28,RAB!$C$14:$C$28,C1146)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SUMIFS(RAB!$F$14:$F$28,RAB!$C$14:$C$28,C1147)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SUMIFS(RAB!$F$14:$F$28,RAB!$C$14:$C$28,C1148)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SUMIFS(RAB!$F$14:$F$28,RAB!$C$14:$C$28,C1149)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SUMIFS(RAB!$F$14:$F$28,RAB!$C$14:$C$28,C1150)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SUMIFS(RAB!$F$14:$F$28,RAB!$C$14:$C$28,C1151)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SUMIFS(RAB!$F$14:$F$28,RAB!$C$14:$C$28,C1152)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SUMIFS(RAB!$F$14:$F$28,RAB!$C$14:$C$28,C1153)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SUMIFS(RAB!$F$14:$F$28,RAB!$C$14:$C$28,C1154)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SUMIFS(RAB!$F$14:$F$28,RAB!$C$14:$C$28,C1155)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SUMIFS(RAB!$F$14:$F$28,RAB!$C$14:$C$28,C1156)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SUMIFS(RAB!$F$14:$F$28,RAB!$C$14:$C$28,C1157)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SUMIFS(RAB!$F$14:$F$28,RAB!$C$14:$C$28,C1158)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SUMIFS(RAB!$F$14:$F$28,RAB!$C$14:$C$28,C1159)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SUMIFS(RAB!$F$14:$F$28,RAB!$C$14:$C$28,C1160)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SUMIFS(RAB!$F$14:$F$28,RAB!$C$14:$C$28,C1161)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SUMIFS(RAB!$F$14:$F$28,RAB!$C$14:$C$28,C1162)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SUMIFS(RAB!$F$14:$F$28,RAB!$C$14:$C$28,C1163)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SUMIFS(RAB!$F$14:$F$28,RAB!$C$14:$C$28,C1164)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SUMIFS(RAB!$F$14:$F$28,RAB!$C$14:$C$28,C1165)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SUMIFS(RAB!$F$14:$F$28,RAB!$C$14:$C$28,C1166)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SUMIFS(RAB!$F$14:$F$28,RAB!$C$14:$C$28,C1167)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SUMIFS(RAB!$F$14:$F$28,RAB!$C$14:$C$28,C1168)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SUMIFS(RAB!$F$14:$F$28,RAB!$C$14:$C$28,C1169)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SUMIFS(RAB!$F$14:$F$28,RAB!$C$14:$C$28,C1170)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SUMIFS(RAB!$F$14:$F$28,RAB!$C$14:$C$28,C1171)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SUMIFS(RAB!$F$14:$F$28,RAB!$C$14:$C$28,C1172)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SUMIFS(RAB!$F$14:$F$28,RAB!$C$14:$C$28,C1173)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SUMIFS(RAB!$F$14:$F$28,RAB!$C$14:$C$28,C1174)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SUMIFS(RAB!$F$14:$F$28,RAB!$C$14:$C$28,C1175)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SUMIFS(RAB!$F$14:$F$28,RAB!$C$14:$C$28,C1176)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SUMIFS(RAB!$F$14:$F$28,RAB!$C$14:$C$28,C1177)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SUMIFS(RAB!$F$14:$F$28,RAB!$C$14:$C$28,C1178)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SUMIFS(RAB!$F$14:$F$28,RAB!$C$14:$C$28,C1179)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SUMIFS(RAB!$F$14:$F$28,RAB!$C$14:$C$28,C1180)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SUMIFS(RAB!$F$14:$F$28,RAB!$C$14:$C$28,C1181)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SUMIFS(RAB!$F$14:$F$28,RAB!$C$14:$C$28,C1182)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SUMIFS(RAB!$F$14:$F$28,RAB!$C$14:$C$28,C1183)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SUMIFS(RAB!$F$14:$F$28,RAB!$C$14:$C$28,C1184)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SUMIFS(RAB!$F$14:$F$28,RAB!$C$14:$C$28,C1185)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SUMIFS(RAB!$F$14:$F$28,RAB!$C$14:$C$28,C1186)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SUMIFS(RAB!$F$14:$F$28,RAB!$C$14:$C$28,C1187)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SUMIFS(RAB!$F$14:$F$28,RAB!$C$14:$C$28,C1188)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SUMIFS(RAB!$F$14:$F$28,RAB!$C$14:$C$28,C1189)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SUMIFS(RAB!$F$14:$F$28,RAB!$C$14:$C$28,C1190)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SUMIFS(RAB!$F$14:$F$28,RAB!$C$14:$C$28,C1191)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SUMIFS(RAB!$F$14:$F$28,RAB!$C$14:$C$28,C1192)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SUMIFS(RAB!$F$14:$F$28,RAB!$C$14:$C$28,C1193)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SUMIFS(RAB!$F$14:$F$28,RAB!$C$14:$C$28,C1194)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SUMIFS(RAB!$F$14:$F$28,RAB!$C$14:$C$28,C1195)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SUMIFS(RAB!$F$14:$F$28,RAB!$C$14:$C$28,C1196)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SUMIFS(RAB!$F$14:$F$28,RAB!$C$14:$C$28,C1197)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SUMIFS(RAB!$F$14:$F$28,RAB!$C$14:$C$28,C1198)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SUMIFS(RAB!$F$14:$F$28,RAB!$C$14:$C$28,C1199)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SUMIFS(RAB!$F$14:$F$28,RAB!$C$14:$C$28,C1200)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SUMIFS(RAB!$F$14:$F$28,RAB!$C$14:$C$28,C1201)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SUMIFS(RAB!$F$14:$F$28,RAB!$C$14:$C$28,C1202)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SUMIFS(RAB!$F$14:$F$28,RAB!$C$14:$C$28,C1203)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SUMIFS(RAB!$F$14:$F$28,RAB!$C$14:$C$28,C1204)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SUMIFS(RAB!$F$14:$F$28,RAB!$C$14:$C$28,C1205)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SUMIFS(RAB!$F$14:$F$28,RAB!$C$14:$C$28,C1206)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SUMIFS(RAB!$F$14:$F$28,RAB!$C$14:$C$28,C1207)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SUMIFS(RAB!$F$14:$F$28,RAB!$C$14:$C$28,C1208)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SUMIFS(RAB!$F$14:$F$28,RAB!$C$14:$C$28,C1209)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SUMIFS(RAB!$F$14:$F$28,RAB!$C$14:$C$28,C1210)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SUMIFS(RAB!$F$14:$F$28,RAB!$C$14:$C$28,C1211)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SUMIFS(RAB!$F$14:$F$28,RAB!$C$14:$C$28,C1212)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SUMIFS(RAB!$F$14:$F$28,RAB!$C$14:$C$28,C1213)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SUMIFS(RAB!$F$14:$F$28,RAB!$C$14:$C$28,C1214)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SUMIFS(RAB!$F$14:$F$28,RAB!$C$14:$C$28,C1215)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SUMIFS(RAB!$F$14:$F$28,RAB!$C$14:$C$28,C1216)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SUMIFS(RAB!$F$14:$F$28,RAB!$C$14:$C$28,C1217)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SUMIFS(RAB!$F$14:$F$28,RAB!$C$14:$C$28,C1218)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SUMIFS(RAB!$F$14:$F$28,RAB!$C$14:$C$28,C1219)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SUMIFS(RAB!$F$14:$F$28,RAB!$C$14:$C$28,C1220)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SUMIFS(RAB!$F$14:$F$28,RAB!$C$14:$C$28,C1221)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SUMIFS(RAB!$F$14:$F$28,RAB!$C$14:$C$28,C1222)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SUMIFS(RAB!$F$14:$F$28,RAB!$C$14:$C$28,C1223)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SUMIFS(RAB!$F$14:$F$28,RAB!$C$14:$C$28,C1224)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SUMIFS(RAB!$F$14:$F$28,RAB!$C$14:$C$28,C1225)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SUMIFS(RAB!$F$14:$F$28,RAB!$C$14:$C$28,C1226)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SUMIFS(RAB!$F$14:$F$28,RAB!$C$14:$C$28,C1227)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SUMIFS(RAB!$F$14:$F$28,RAB!$C$14:$C$28,C1228)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SUMIFS(RAB!$F$14:$F$28,RAB!$C$14:$C$28,C1229)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SUMIFS(RAB!$F$14:$F$28,RAB!$C$14:$C$28,C1230)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SUMIFS(RAB!$F$14:$F$28,RAB!$C$14:$C$28,C1231)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SUMIFS(RAB!$F$14:$F$28,RAB!$C$14:$C$28,C1232)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SUMIFS(RAB!$F$14:$F$28,RAB!$C$14:$C$28,C1233)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SUMIFS(RAB!$F$14:$F$28,RAB!$C$14:$C$28,C1234)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SUMIFS(RAB!$F$14:$F$28,RAB!$C$14:$C$28,C1235)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SUMIFS(RAB!$F$14:$F$28,RAB!$C$14:$C$28,C1236)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SUMIFS(RAB!$F$14:$F$28,RAB!$C$14:$C$28,C1237)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SUMIFS(RAB!$F$14:$F$28,RAB!$C$14:$C$28,C1238)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SUMIFS(RAB!$F$14:$F$28,RAB!$C$14:$C$28,C1239)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SUMIFS(RAB!$F$14:$F$28,RAB!$C$14:$C$28,C1240)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SUMIFS(RAB!$F$14:$F$28,RAB!$C$14:$C$28,C1241)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SUMIFS(RAB!$F$14:$F$28,RAB!$C$14:$C$28,C1242)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SUMIFS(RAB!$F$14:$F$28,RAB!$C$14:$C$28,C1243)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SUMIFS(RAB!$F$14:$F$28,RAB!$C$14:$C$28,C1244)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SUMIFS(RAB!$F$14:$F$28,RAB!$C$14:$C$28,C1245)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SUMIFS(RAB!$F$14:$F$28,RAB!$C$14:$C$28,C1246)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SUMIFS(RAB!$F$14:$F$28,RAB!$C$14:$C$28,C1247)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SUMIFS(RAB!$F$14:$F$28,RAB!$C$14:$C$28,C1248)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SUMIFS(RAB!$F$14:$F$28,RAB!$C$14:$C$28,C1249)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SUMIFS(RAB!$F$14:$F$28,RAB!$C$14:$C$28,C1250)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SUMIFS(RAB!$F$14:$F$28,RAB!$C$14:$C$28,C1251)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SUMIFS(RAB!$F$14:$F$28,RAB!$C$14:$C$28,C1252)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SUMIFS(RAB!$F$14:$F$28,RAB!$C$14:$C$28,C1253)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SUMIFS(RAB!$F$14:$F$28,RAB!$C$14:$C$28,C1254)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SUMIFS(RAB!$F$14:$F$28,RAB!$C$14:$C$28,C1255)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SUMIFS(RAB!$F$14:$F$28,RAB!$C$14:$C$28,C1256)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SUMIFS(RAB!$F$14:$F$28,RAB!$C$14:$C$28,C1257)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SUMIFS(RAB!$F$14:$F$28,RAB!$C$14:$C$28,C1258)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SUMIFS(RAB!$F$14:$F$28,RAB!$C$14:$C$28,C1259)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SUMIFS(RAB!$F$14:$F$28,RAB!$C$14:$C$28,C1260)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SUMIFS(RAB!$F$14:$F$28,RAB!$C$14:$C$28,C1261)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SUMIFS(RAB!$F$14:$F$28,RAB!$C$14:$C$28,C1262)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SUMIFS(RAB!$F$14:$F$28,RAB!$C$14:$C$28,C1263)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SUMIFS(RAB!$F$14:$F$28,RAB!$C$14:$C$28,C1264)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SUMIFS(RAB!$F$14:$F$28,RAB!$C$14:$C$28,C1265)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SUMIFS(RAB!$F$14:$F$28,RAB!$C$14:$C$28,C1266)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SUMIFS(RAB!$F$14:$F$28,RAB!$C$14:$C$28,C1267)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SUMIFS(RAB!$F$14:$F$28,RAB!$C$14:$C$28,C1268)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SUMIFS(RAB!$F$14:$F$28,RAB!$C$14:$C$28,C1269)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SUMIFS(RAB!$F$14:$F$28,RAB!$C$14:$C$28,C1270)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SUMIFS(RAB!$F$14:$F$28,RAB!$C$14:$C$28,C1271)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SUMIFS(RAB!$F$14:$F$28,RAB!$C$14:$C$28,C1272)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SUMIFS(RAB!$F$14:$F$28,RAB!$C$14:$C$28,C1273)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SUMIFS(RAB!$F$14:$F$28,RAB!$C$14:$C$28,C1274)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SUMIFS(RAB!$F$14:$F$28,RAB!$C$14:$C$28,C1275)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SUMIFS(RAB!$F$14:$F$28,RAB!$C$14:$C$28,C1276)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SUMIFS(RAB!$F$14:$F$28,RAB!$C$14:$C$28,C1277)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SUMIFS(RAB!$F$14:$F$28,RAB!$C$14:$C$28,C1278)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SUMIFS(RAB!$F$14:$F$28,RAB!$C$14:$C$28,C1279)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SUMIFS(RAB!$F$14:$F$28,RAB!$C$14:$C$28,C1280)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SUMIFS(RAB!$F$14:$F$28,RAB!$C$14:$C$28,C1281)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SUMIFS(RAB!$F$14:$F$28,RAB!$C$14:$C$28,C1282)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SUMIFS(RAB!$F$14:$F$28,RAB!$C$14:$C$28,C1283)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SUMIFS(RAB!$F$14:$F$28,RAB!$C$14:$C$28,C1284)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SUMIFS(RAB!$F$14:$F$28,RAB!$C$14:$C$28,C1285)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SUMIFS(RAB!$F$14:$F$28,RAB!$C$14:$C$28,C1286)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SUMIFS(RAB!$F$14:$F$28,RAB!$C$14:$C$28,C1287)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SUMIFS(RAB!$F$14:$F$28,RAB!$C$14:$C$28,C1288)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SUMIFS(RAB!$F$14:$F$28,RAB!$C$14:$C$28,C1289)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SUMIFS(RAB!$F$14:$F$28,RAB!$C$14:$C$28,C1290)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SUMIFS(RAB!$F$14:$F$28,RAB!$C$14:$C$28,C1291)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SUMIFS(RAB!$F$14:$F$28,RAB!$C$14:$C$28,C1292)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SUMIFS(RAB!$F$14:$F$28,RAB!$C$14:$C$28,C1293)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SUMIFS(RAB!$F$14:$F$28,RAB!$C$14:$C$28,C1294)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SUMIFS(RAB!$F$14:$F$28,RAB!$C$14:$C$28,C1295)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SUMIFS(RAB!$F$14:$F$28,RAB!$C$14:$C$28,C1296)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SUMIFS(RAB!$F$14:$F$28,RAB!$C$14:$C$28,C1297)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SUMIFS(RAB!$F$14:$F$28,RAB!$C$14:$C$28,C1298)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SUMIFS(RAB!$F$14:$F$28,RAB!$C$14:$C$28,C1299)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SUMIFS(RAB!$F$14:$F$28,RAB!$C$14:$C$28,C1300)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SUMIFS(RAB!$F$14:$F$28,RAB!$C$14:$C$28,C1301)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SUMIFS(RAB!$F$14:$F$28,RAB!$C$14:$C$28,C1302)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SUMIFS(RAB!$F$14:$F$28,RAB!$C$14:$C$28,C1303)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SUMIFS(RAB!$F$14:$F$28,RAB!$C$14:$C$28,C1304)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SUMIFS(RAB!$F$14:$F$28,RAB!$C$14:$C$28,C1305)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SUMIFS(RAB!$F$14:$F$28,RAB!$C$14:$C$28,C1306)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SUMIFS(RAB!$F$14:$F$28,RAB!$C$14:$C$28,C1307)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SUMIFS(RAB!$F$14:$F$28,RAB!$C$14:$C$28,C1308)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SUMIFS(RAB!$F$14:$F$28,RAB!$C$14:$C$28,C1309)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SUMIFS(RAB!$F$14:$F$28,RAB!$C$14:$C$28,C1310)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SUMIFS(RAB!$F$14:$F$28,RAB!$C$14:$C$28,C1311)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SUMIFS(RAB!$F$14:$F$28,RAB!$C$14:$C$28,C1312)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SUMIFS(RAB!$F$14:$F$28,RAB!$C$14:$C$28,C1313)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SUMIFS(RAB!$F$14:$F$28,RAB!$C$14:$C$28,C1314)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SUMIFS(RAB!$F$14:$F$28,RAB!$C$14:$C$28,C1315)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SUMIFS(RAB!$F$14:$F$28,RAB!$C$14:$C$28,C1316)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SUMIFS(RAB!$F$14:$F$28,RAB!$C$14:$C$28,C1317)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SUMIFS(RAB!$F$14:$F$28,RAB!$C$14:$C$28,C1318)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SUMIFS(RAB!$F$14:$F$28,RAB!$C$14:$C$28,C1319)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SUMIFS(RAB!$F$14:$F$28,RAB!$C$14:$C$28,C1320)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2" t="s">
        <v>1127</v>
      </c>
      <c r="C4" s="522"/>
      <c r="D4" s="522"/>
      <c r="E4" s="522"/>
      <c r="F4" s="522"/>
      <c r="G4" s="522"/>
      <c r="H4" s="522"/>
      <c r="I4" s="522"/>
      <c r="J4" s="522"/>
      <c r="K4" s="52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BUMDES TANJUNG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TANJUNGREJO  1 / 3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3" t="s">
        <v>0</v>
      </c>
      <c r="C11" s="525" t="s">
        <v>1</v>
      </c>
      <c r="D11" s="528" t="s">
        <v>42</v>
      </c>
      <c r="E11" s="528" t="s">
        <v>43</v>
      </c>
      <c r="F11" s="528" t="s">
        <v>2</v>
      </c>
      <c r="G11" s="530" t="s">
        <v>41</v>
      </c>
      <c r="H11" s="528" t="s">
        <v>3</v>
      </c>
      <c r="I11" s="528"/>
      <c r="J11" s="528"/>
      <c r="K11" s="533"/>
      <c r="M11" s="33"/>
      <c r="N11" s="33"/>
      <c r="O11" s="33"/>
      <c r="P11" s="33"/>
      <c r="R11" s="34"/>
      <c r="S11" s="74"/>
      <c r="T11" s="74"/>
    </row>
    <row r="12" spans="1:21" ht="15" customHeight="1">
      <c r="B12" s="524"/>
      <c r="C12" s="526"/>
      <c r="D12" s="529"/>
      <c r="E12" s="529"/>
      <c r="F12" s="529"/>
      <c r="G12" s="531"/>
      <c r="H12" s="537" t="s">
        <v>46</v>
      </c>
      <c r="I12" s="537" t="s">
        <v>5</v>
      </c>
      <c r="J12" s="529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4"/>
      <c r="C13" s="527"/>
      <c r="D13" s="529"/>
      <c r="E13" s="529"/>
      <c r="F13" s="529"/>
      <c r="G13" s="532"/>
      <c r="H13" s="538"/>
      <c r="I13" s="538"/>
      <c r="J13" s="529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7" t="s">
        <v>1008</v>
      </c>
      <c r="D38" s="547"/>
      <c r="E38" s="547"/>
      <c r="F38" s="547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8" t="s">
        <v>462</v>
      </c>
      <c r="D39" s="548"/>
      <c r="E39" s="548"/>
      <c r="F39" s="548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9" t="s">
        <v>463</v>
      </c>
      <c r="D40" s="539"/>
      <c r="E40" s="539"/>
      <c r="F40" s="53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0" t="e">
        <f ca="1">"Terbilang : ( "&amp;L42&amp;" Rupiah )"</f>
        <v>#NAME?</v>
      </c>
      <c r="C41" s="541"/>
      <c r="D41" s="541"/>
      <c r="E41" s="541"/>
      <c r="F41" s="541"/>
      <c r="G41" s="541"/>
      <c r="H41" s="541"/>
      <c r="I41" s="541"/>
      <c r="J41" s="541"/>
      <c r="K41" s="542"/>
      <c r="L41" s="44"/>
      <c r="R41" s="58"/>
      <c r="S41" s="58"/>
      <c r="T41" s="58"/>
    </row>
    <row r="42" spans="1:20" s="36" customFormat="1">
      <c r="A42" s="30"/>
      <c r="B42" s="543"/>
      <c r="C42" s="544"/>
      <c r="D42" s="544"/>
      <c r="E42" s="544"/>
      <c r="F42" s="544"/>
      <c r="G42" s="544"/>
      <c r="H42" s="544"/>
      <c r="I42" s="544"/>
      <c r="J42" s="544"/>
      <c r="K42" s="545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4"/>
      <c r="I45" s="534"/>
      <c r="J45" s="535"/>
      <c r="K45" s="53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4"/>
      <c r="I46" s="534"/>
      <c r="J46" s="535"/>
      <c r="K46" s="53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4"/>
      <c r="I47" s="534"/>
      <c r="J47" s="535"/>
      <c r="K47" s="53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4"/>
      <c r="I52" s="534"/>
      <c r="J52" s="535"/>
      <c r="K52" s="53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SUMIFS(RAB!$F$14:$F$28,RAB!$C$14:$C$28,'REKAP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SUMIFS(RAB!$F$14:$F$28,RAB!$C$14:$C$28,'REKAP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SUMIFS(RAB!$F$14:$F$28,RAB!$C$14:$C$28,'REKAP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SUMIFS(RAB!$F$14:$F$28,RAB!$C$14:$C$28,'REKAP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SUMIFS(RAB!$F$14:$F$28,RAB!$C$14:$C$28,'REKAP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SUMIFS(RAB!$F$14:$F$28,RAB!$C$14:$C$28,'REKAP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SUMIFS(RAB!$F$14:$F$28,RAB!$C$14:$C$28,'REKAP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SUMIFS(RAB!$F$14:$F$28,RAB!$C$14:$C$28,'REKAP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SUMIFS(RAB!$F$14:$F$28,RAB!$C$14:$C$28,'REKAP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SUMIFS(RAB!$F$14:$F$28,RAB!$C$14:$C$28,'REKAP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SUMIFS(RAB!$F$14:$F$28,RAB!$C$14:$C$28,'REKAP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SUMIFS(RAB!$F$14:$F$28,RAB!$C$14:$C$28,'REKAP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SUMIFS(RAB!$F$14:$F$28,RAB!$C$14:$C$28,'REKAP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SUMIFS(RAB!$F$14:$F$28,RAB!$C$14:$C$28,'REKAP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SUMIFS(RAB!$F$14:$F$28,RAB!$C$14:$C$28,'REKAP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SUMIFS(RAB!$F$14:$F$28,RAB!$C$14:$C$28,'REKAP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SUMIFS(RAB!$F$14:$F$28,RAB!$C$14:$C$28,'REKAP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SUMIFS(RAB!$F$14:$F$28,RAB!$C$14:$C$28,'REKAP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SUMIFS(RAB!$F$14:$F$28,RAB!$C$14:$C$28,'REKAP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SUMIFS(RAB!$F$14:$F$28,RAB!$C$14:$C$28,'REKAP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2" t="s">
        <v>1034</v>
      </c>
      <c r="C4" s="522"/>
      <c r="D4" s="522"/>
      <c r="E4" s="522"/>
      <c r="F4" s="522"/>
      <c r="G4" s="522"/>
      <c r="H4" s="522"/>
      <c r="I4" s="522"/>
      <c r="J4" s="522"/>
      <c r="K4" s="52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BUMDES TANJUNG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TANJUNGREJO  1 / 3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3" t="s">
        <v>0</v>
      </c>
      <c r="C11" s="525" t="s">
        <v>1</v>
      </c>
      <c r="D11" s="528" t="s">
        <v>42</v>
      </c>
      <c r="E11" s="528" t="s">
        <v>43</v>
      </c>
      <c r="F11" s="528" t="s">
        <v>2</v>
      </c>
      <c r="G11" s="530" t="s">
        <v>41</v>
      </c>
      <c r="H11" s="528" t="s">
        <v>3</v>
      </c>
      <c r="I11" s="528"/>
      <c r="J11" s="528"/>
      <c r="K11" s="533"/>
      <c r="M11" s="33"/>
      <c r="N11" s="33"/>
      <c r="O11" s="33"/>
      <c r="P11" s="33"/>
      <c r="R11" s="34"/>
      <c r="S11" s="74"/>
      <c r="T11" s="74"/>
    </row>
    <row r="12" spans="1:21" ht="15" customHeight="1">
      <c r="B12" s="524"/>
      <c r="C12" s="526"/>
      <c r="D12" s="529"/>
      <c r="E12" s="529"/>
      <c r="F12" s="529"/>
      <c r="G12" s="531"/>
      <c r="H12" s="537" t="s">
        <v>46</v>
      </c>
      <c r="I12" s="537" t="s">
        <v>5</v>
      </c>
      <c r="J12" s="529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4"/>
      <c r="C13" s="527"/>
      <c r="D13" s="529"/>
      <c r="E13" s="529"/>
      <c r="F13" s="529"/>
      <c r="G13" s="532"/>
      <c r="H13" s="538"/>
      <c r="I13" s="538"/>
      <c r="J13" s="529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23 kVA MCCB 35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NFA2X 4 x 16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01">
        <f t="shared" ref="F17:F80" ca="1" si="6">IF(ISERROR(OFFSET($D$223,MATCH(A17,$F$224:$F$373,0),0)),"",OFFSET($D$223,MATCH(A17,$F$224:$F$373,0),0))</f>
        <v>50</v>
      </c>
      <c r="G17" s="41">
        <f ca="1">IF(ISERROR(OFFSET('HARGA SATUAN'!$I$6,MATCH(C17,'HARGA SATUAN'!$C$7:$C$1492,0),0)),"",OFFSET('HARGA SATUAN'!$I$6,MATCH(C17,'HARGA SATUAN'!$C$7:$C$1492,0),0))</f>
        <v>13500</v>
      </c>
      <c r="H17" s="42">
        <f t="shared" ca="1" si="1"/>
        <v>675000</v>
      </c>
      <c r="I17" s="42">
        <f t="shared" ca="1" si="2"/>
        <v>0</v>
      </c>
      <c r="J17" s="42">
        <f t="shared" ca="1" si="3"/>
        <v>0</v>
      </c>
      <c r="K17" s="43">
        <f t="shared" ca="1" si="0"/>
        <v>675000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7" t="s">
        <v>1008</v>
      </c>
      <c r="D168" s="547"/>
      <c r="E168" s="547"/>
      <c r="F168" s="547"/>
      <c r="G168" s="77" t="s">
        <v>9</v>
      </c>
      <c r="H168" s="55">
        <f ca="1">SUM(H14:H167)</f>
        <v>4239900</v>
      </c>
      <c r="I168" s="55">
        <f ca="1">SUM(I14:I167)</f>
        <v>0</v>
      </c>
      <c r="J168" s="55">
        <f ca="1">SUM(J14:J167)</f>
        <v>0</v>
      </c>
      <c r="K168" s="55">
        <f ca="1">SUM(K14:K167)</f>
        <v>4239900</v>
      </c>
      <c r="L168" s="44"/>
      <c r="R168" s="99"/>
      <c r="S168" s="99"/>
      <c r="T168" s="99"/>
    </row>
    <row r="169" spans="1:20" s="36" customFormat="1">
      <c r="A169" s="30"/>
      <c r="B169" s="56"/>
      <c r="C169" s="548" t="s">
        <v>462</v>
      </c>
      <c r="D169" s="548"/>
      <c r="E169" s="548"/>
      <c r="F169" s="548"/>
      <c r="G169" s="59" t="s">
        <v>9</v>
      </c>
      <c r="H169" s="60">
        <f ca="1">H168*0.1</f>
        <v>423990</v>
      </c>
      <c r="I169" s="60">
        <f ca="1">I168*0.1</f>
        <v>0</v>
      </c>
      <c r="J169" s="60">
        <f ca="1">J168*0.1</f>
        <v>0</v>
      </c>
      <c r="K169" s="60">
        <f ca="1">K168*0.1</f>
        <v>423990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9" t="s">
        <v>463</v>
      </c>
      <c r="D170" s="539"/>
      <c r="E170" s="539"/>
      <c r="F170" s="539"/>
      <c r="G170" s="61" t="s">
        <v>9</v>
      </c>
      <c r="H170" s="78">
        <f ca="1">SUM(H168:H169)</f>
        <v>4663890</v>
      </c>
      <c r="I170" s="78">
        <f ca="1">SUM(I168:I169)</f>
        <v>0</v>
      </c>
      <c r="J170" s="61">
        <f ca="1">SUM(J168:J169)</f>
        <v>0</v>
      </c>
      <c r="K170" s="61">
        <f ca="1">SUM(K168:K169)</f>
        <v>4663890</v>
      </c>
      <c r="L170" s="44"/>
      <c r="R170" s="99"/>
      <c r="S170" s="99"/>
      <c r="T170" s="99"/>
    </row>
    <row r="171" spans="1:20" s="36" customFormat="1">
      <c r="A171" s="30"/>
      <c r="B171" s="540" t="e">
        <f ca="1">"Terbilang : ( "&amp;L172&amp;" Rupiah )"</f>
        <v>#NAME?</v>
      </c>
      <c r="C171" s="541"/>
      <c r="D171" s="541"/>
      <c r="E171" s="541"/>
      <c r="F171" s="541"/>
      <c r="G171" s="541"/>
      <c r="H171" s="541"/>
      <c r="I171" s="541"/>
      <c r="J171" s="541"/>
      <c r="K171" s="542"/>
      <c r="L171" s="44"/>
      <c r="R171" s="58"/>
      <c r="S171" s="58"/>
      <c r="T171" s="58"/>
    </row>
    <row r="172" spans="1:20" s="36" customFormat="1">
      <c r="A172" s="30"/>
      <c r="B172" s="543"/>
      <c r="C172" s="544"/>
      <c r="D172" s="544"/>
      <c r="E172" s="544"/>
      <c r="F172" s="544"/>
      <c r="G172" s="544"/>
      <c r="H172" s="544"/>
      <c r="I172" s="544"/>
      <c r="J172" s="544"/>
      <c r="K172" s="545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4"/>
      <c r="I175" s="534"/>
      <c r="J175" s="535"/>
      <c r="K175" s="53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4"/>
      <c r="I176" s="534"/>
      <c r="J176" s="535"/>
      <c r="K176" s="53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4"/>
      <c r="I177" s="534"/>
      <c r="J177" s="535"/>
      <c r="K177" s="53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4"/>
      <c r="I182" s="534"/>
      <c r="J182" s="535"/>
      <c r="K182" s="53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SUMIFS(RAB!$F$14:$F$28,RAB!$C$14:$C$28,C224)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SUMIFS(RAB!$F$14:$F$28,RAB!$C$14:$C$28,C225)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SUMIFS(RAB!$F$14:$F$28,RAB!$C$14:$C$28,C226)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SUMIFS(RAB!$F$14:$F$28,RAB!$C$14:$C$28,C227)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SUMIFS(RAB!$F$14:$F$28,RAB!$C$14:$C$28,C228)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SUMIFS(RAB!$F$14:$F$28,RAB!$C$14:$C$28,C229)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SUMIFS(RAB!$F$14:$F$28,RAB!$C$14:$C$28,C230)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SUMIFS(RAB!$F$14:$F$28,RAB!$C$14:$C$28,C231)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SUMIFS(RAB!$F$14:$F$28,RAB!$C$14:$C$28,C232)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SUMIFS(RAB!$F$14:$F$28,RAB!$C$14:$C$28,C233)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SUMIFS(RAB!$F$14:$F$28,RAB!$C$14:$C$28,C234)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SUMIFS(RAB!$F$14:$F$28,RAB!$C$14:$C$28,C235)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SUMIFS(RAB!$F$14:$F$28,RAB!$C$14:$C$28,C236)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SUMIFS(RAB!$F$14:$F$28,RAB!$C$14:$C$28,C237)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SUMIFS(RAB!$F$14:$F$28,RAB!$C$14:$C$28,C238)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SUMIFS(RAB!$F$14:$F$28,RAB!$C$14:$C$28,C239)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SUMIFS(RAB!$F$14:$F$28,RAB!$C$14:$C$28,C240)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SUMIFS(RAB!$F$14:$F$28,RAB!$C$14:$C$28,C241)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SUMIFS(RAB!$F$14:$F$28,RAB!$C$14:$C$28,C242)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SUMIFS(RAB!$F$14:$F$28,RAB!$C$14:$C$28,C243)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SUMIFS(RAB!$F$14:$F$28,RAB!$C$14:$C$28,C244)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SUMIFS(RAB!$F$14:$F$28,RAB!$C$14:$C$28,C245)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SUMIFS(RAB!$F$14:$F$28,RAB!$C$14:$C$28,C246)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SUMIFS(RAB!$F$14:$F$28,RAB!$C$14:$C$28,C247)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SUMIFS(RAB!$F$14:$F$28,RAB!$C$14:$C$28,C248)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SUMIFS(RAB!$F$14:$F$28,RAB!$C$14:$C$28,C249)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SUMIFS(RAB!$F$14:$F$28,RAB!$C$14:$C$28,C250)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SUMIFS(RAB!$F$14:$F$28,RAB!$C$14:$C$28,C251)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SUMIFS(RAB!$F$14:$F$28,RAB!$C$14:$C$28,C252)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SUMIFS(RAB!$F$14:$F$28,RAB!$C$14:$C$28,C253)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SUMIFS(RAB!$F$14:$F$28,RAB!$C$14:$C$28,C254)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SUMIFS(RAB!$F$14:$F$28,RAB!$C$14:$C$28,C255)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SUMIFS(RAB!$F$14:$F$28,RAB!$C$14:$C$28,C256)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SUMIFS(RAB!$F$14:$F$28,RAB!$C$14:$C$28,C257)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SUMIFS(RAB!$F$14:$F$28,RAB!$C$14:$C$28,C258)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SUMIFS(RAB!$F$14:$F$28,RAB!$C$14:$C$28,C259)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SUMIFS(RAB!$F$14:$F$28,RAB!$C$14:$C$28,C260)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SUMIFS(RAB!$F$14:$F$28,RAB!$C$14:$C$28,C261)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SUMIFS(RAB!$F$14:$F$28,RAB!$C$14:$C$28,C262)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SUMIFS(RAB!$F$14:$F$28,RAB!$C$14:$C$28,C263)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SUMIFS(RAB!$F$14:$F$28,RAB!$C$14:$C$28,C264)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SUMIFS(RAB!$F$14:$F$28,RAB!$C$14:$C$28,C265)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SUMIFS(RAB!$F$14:$F$28,RAB!$C$14:$C$28,C266)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SUMIFS(RAB!$F$14:$F$28,RAB!$C$14:$C$28,C267)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SUMIFS(RAB!$F$14:$F$28,RAB!$C$14:$C$28,C268)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SUMIFS(RAB!$F$14:$F$28,RAB!$C$14:$C$28,C269)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SUMIFS(RAB!$F$14:$F$28,RAB!$C$14:$C$28,C270)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SUMIFS(RAB!$F$14:$F$28,RAB!$C$14:$C$28,C271)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SUMIFS(RAB!$F$14:$F$28,RAB!$C$14:$C$28,C272)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SUMIFS(RAB!$F$14:$F$28,RAB!$C$14:$C$28,C273)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SUMIFS(RAB!$F$14:$F$28,RAB!$C$14:$C$28,C274)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SUMIFS(RAB!$F$14:$F$28,RAB!$C$14:$C$28,C275)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SUMIFS(RAB!$F$14:$F$28,RAB!$C$14:$C$28,C276)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SUMIFS(RAB!$F$14:$F$28,RAB!$C$14:$C$28,C277)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SUMIFS(RAB!$F$14:$F$28,RAB!$C$14:$C$28,C278)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SUMIFS(RAB!$F$14:$F$28,RAB!$C$14:$C$28,C279)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SUMIFS(RAB!$F$14:$F$28,RAB!$C$14:$C$28,C280)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SUMIFS(RAB!$F$14:$F$28,RAB!$C$14:$C$28,C281)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SUMIFS(RAB!$F$14:$F$28,RAB!$C$14:$C$28,C282)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SUMIFS(RAB!$F$14:$F$28,RAB!$C$14:$C$28,C283)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SUMIFS(RAB!$F$14:$F$28,RAB!$C$14:$C$28,C284)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SUMIFS(RAB!$F$14:$F$28,RAB!$C$14:$C$28,C285)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SUMIFS(RAB!$F$14:$F$28,RAB!$C$14:$C$28,C286)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SUMIFS(RAB!$F$14:$F$28,RAB!$C$14:$C$28,C287)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SUMIFS(RAB!$F$14:$F$28,RAB!$C$14:$C$28,C288)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SUMIFS(RAB!$F$14:$F$28,RAB!$C$14:$C$28,C289)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SUMIFS(RAB!$F$14:$F$28,RAB!$C$14:$C$28,C290)</f>
        <v>1</v>
      </c>
      <c r="E290" s="24">
        <f t="shared" ca="1" si="22"/>
        <v>1</v>
      </c>
      <c r="F290" s="24">
        <f ca="1">IF(D290=0,0,SUM($E$223:E290))</f>
        <v>1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SUMIFS(RAB!$F$14:$F$28,RAB!$C$14:$C$28,C291)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SUMIFS(RAB!$F$14:$F$28,RAB!$C$14:$C$28,C292)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SUMIFS(RAB!$F$14:$F$28,RAB!$C$14:$C$28,C293)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SUMIFS(RAB!$F$14:$F$28,RAB!$C$14:$C$28,C294)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SUMIFS(RAB!$F$14:$F$28,RAB!$C$14:$C$28,C295)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SUMIFS(RAB!$F$14:$F$28,RAB!$C$14:$C$28,C296)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SUMIFS(RAB!$F$14:$F$28,RAB!$C$14:$C$28,C297)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SUMIFS(RAB!$F$14:$F$28,RAB!$C$14:$C$28,C298)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SUMIFS(RAB!$F$14:$F$28,RAB!$C$14:$C$28,C299)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SUMIFS(RAB!$F$14:$F$28,RAB!$C$14:$C$28,C300)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SUMIFS(RAB!$F$14:$F$28,RAB!$C$14:$C$28,C301)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SUMIFS(RAB!$F$14:$F$28,RAB!$C$14:$C$28,C302)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SUMIFS(RAB!$F$14:$F$28,RAB!$C$14:$C$28,C303)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SUMIFS(RAB!$F$14:$F$28,RAB!$C$14:$C$28,C304)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SUMIFS(RAB!$F$14:$F$28,RAB!$C$14:$C$28,C305)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SUMIFS(RAB!$F$14:$F$28,RAB!$C$14:$C$28,C306)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SUMIFS(RAB!$F$14:$F$28,RAB!$C$14:$C$28,C307)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SUMIFS(RAB!$F$14:$F$28,RAB!$C$14:$C$28,C308)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SUMIFS(RAB!$F$14:$F$28,RAB!$C$14:$C$28,C309)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SUMIFS(RAB!$F$14:$F$28,RAB!$C$14:$C$28,C310)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SUMIFS(RAB!$F$14:$F$28,RAB!$C$14:$C$28,C311)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SUMIFS(RAB!$F$14:$F$28,RAB!$C$14:$C$28,C312)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SUMIFS(RAB!$F$14:$F$28,RAB!$C$14:$C$28,C313)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SUMIFS(RAB!$F$14:$F$28,RAB!$C$14:$C$28,C314)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SUMIFS(RAB!$F$14:$F$28,RAB!$C$14:$C$28,C315)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SUMIFS(RAB!$F$14:$F$28,RAB!$C$14:$C$28,C316)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SUMIFS(RAB!$F$14:$F$28,RAB!$C$14:$C$28,C317)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SUMIFS(RAB!$F$14:$F$28,RAB!$C$14:$C$28,C318)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SUMIFS(RAB!$F$14:$F$28,RAB!$C$14:$C$28,C319)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SUMIFS(RAB!$F$14:$F$28,RAB!$C$14:$C$28,C320)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SUMIFS(RAB!$F$14:$F$28,RAB!$C$14:$C$28,C321)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SUMIFS(RAB!$F$14:$F$28,RAB!$C$14:$C$28,C322)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SUMIFS(RAB!$F$14:$F$28,RAB!$C$14:$C$28,C323)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SUMIFS(RAB!$F$14:$F$28,RAB!$C$14:$C$28,C324)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SUMIFS(RAB!$F$14:$F$28,RAB!$C$14:$C$28,C325)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SUMIFS(RAB!$F$14:$F$28,RAB!$C$14:$C$28,C326)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SUMIFS(RAB!$F$14:$F$28,RAB!$C$14:$C$28,C327)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SUMIFS(RAB!$F$14:$F$28,RAB!$C$14:$C$28,C328)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SUMIFS(RAB!$F$14:$F$28,RAB!$C$14:$C$28,C329)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SUMIFS(RAB!$F$14:$F$28,RAB!$C$14:$C$28,C330)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SUMIFS(RAB!$F$14:$F$28,RAB!$C$14:$C$28,C331)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SUMIFS(RAB!$F$14:$F$28,RAB!$C$14:$C$28,C332)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SUMIFS(RAB!$F$14:$F$28,RAB!$C$14:$C$28,C333)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SUMIFS(RAB!$F$14:$F$28,RAB!$C$14:$C$28,C334)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SUMIFS(RAB!$F$14:$F$28,RAB!$C$14:$C$28,C335)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SUMIFS(RAB!$F$14:$F$28,RAB!$C$14:$C$28,C336)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SUMIFS(RAB!$F$14:$F$28,RAB!$C$14:$C$28,C337)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SUMIFS(RAB!$F$14:$F$28,RAB!$C$14:$C$28,C338)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SUMIFS(RAB!$F$14:$F$28,RAB!$C$14:$C$28,C339)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SUMIFS(RAB!$F$14:$F$28,RAB!$C$14:$C$28,C340)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SUMIFS(RAB!$F$14:$F$28,RAB!$C$14:$C$28,C341)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SUMIFS(RAB!$F$14:$F$28,RAB!$C$14:$C$28,C342)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SUMIFS(RAB!$F$14:$F$28,RAB!$C$14:$C$28,C343)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SUMIFS(RAB!$F$14:$F$28,RAB!$C$14:$C$28,C344)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SUMIFS(RAB!$F$14:$F$28,RAB!$C$14:$C$28,C345)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SUMIFS(RAB!$F$14:$F$28,RAB!$C$14:$C$28,C346)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SUMIFS(RAB!$F$14:$F$28,RAB!$C$14:$C$28,C347)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SUMIFS(RAB!$F$14:$F$28,RAB!$C$14:$C$28,C348)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SUMIFS(RAB!$F$14:$F$28,RAB!$C$14:$C$28,C349)</f>
        <v>50</v>
      </c>
      <c r="E349" s="24">
        <f t="shared" ca="1" si="22"/>
        <v>1</v>
      </c>
      <c r="F349" s="24">
        <f ca="1">IF(D349=0,0,SUM($E$223:E349))</f>
        <v>2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SUMIFS(RAB!$F$14:$F$28,RAB!$C$14:$C$28,C350)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SUMIFS(RAB!$F$14:$F$28,RAB!$C$14:$C$28,C351)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SUMIFS(RAB!$F$14:$F$28,RAB!$C$14:$C$28,C352)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SUMIFS(RAB!$F$14:$F$28,RAB!$C$14:$C$28,C353)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SUMIFS(RAB!$F$14:$F$28,RAB!$C$14:$C$28,C354)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SUMIFS(RAB!$F$14:$F$28,RAB!$C$14:$C$28,C355)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SUMIFS(RAB!$F$14:$F$28,RAB!$C$14:$C$28,C356)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SUMIFS(RAB!$F$14:$F$28,RAB!$C$14:$C$28,C357)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SUMIFS(RAB!$F$14:$F$28,RAB!$C$14:$C$28,C358)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SUMIFS(RAB!$F$14:$F$28,RAB!$C$14:$C$28,C359)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SUMIFS(RAB!$F$14:$F$28,RAB!$C$14:$C$28,C360)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SUMIFS(RAB!$F$14:$F$28,RAB!$C$14:$C$28,C361)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SUMIFS(RAB!$F$14:$F$28,RAB!$C$14:$C$28,C362)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SUMIFS(RAB!$F$14:$F$28,RAB!$C$14:$C$28,C363)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SUMIFS(RAB!$F$14:$F$28,RAB!$C$14:$C$28,C364)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SUMIFS(RAB!$F$14:$F$28,RAB!$C$14:$C$28,C365)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SUMIFS(RAB!$F$14:$F$28,RAB!$C$14:$C$28,C366)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SUMIFS(RAB!$F$14:$F$28,RAB!$C$14:$C$28,C367)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SUMIFS(RAB!$F$14:$F$28,RAB!$C$14:$C$28,C368)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SUMIFS(RAB!$F$14:$F$28,RAB!$C$14:$C$28,C369)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SUMIFS(RAB!$F$14:$F$28,RAB!$C$14:$C$28,C370)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SUMIFS(RAB!$F$14:$F$28,RAB!$C$14:$C$28,C371)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SUMIFS(RAB!$F$14:$F$28,RAB!$C$14:$C$28,C372)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SUMIFS(RAB!$F$14:$F$28,RAB!$C$14:$C$28,C373)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0" t="s">
        <v>41</v>
      </c>
      <c r="C2" s="55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1" t="s">
        <v>23</v>
      </c>
      <c r="C4" s="552" t="s">
        <v>1012</v>
      </c>
      <c r="D4" s="552" t="s">
        <v>42</v>
      </c>
      <c r="E4" s="551" t="s">
        <v>43</v>
      </c>
      <c r="F4" s="108" t="s">
        <v>1605</v>
      </c>
      <c r="G4" s="108" t="s">
        <v>1604</v>
      </c>
      <c r="H4" s="54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1"/>
      <c r="C5" s="552"/>
      <c r="D5" s="552"/>
      <c r="E5" s="551"/>
      <c r="F5" s="93"/>
      <c r="G5" s="93"/>
      <c r="H5" s="549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70" zoomScaleNormal="70" zoomScaleSheetLayoutView="85" workbookViewId="0">
      <selection activeCell="D17" sqref="D17:E17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2" t="s">
        <v>1454</v>
      </c>
      <c r="C2" s="582"/>
      <c r="D2" s="582"/>
      <c r="E2" s="582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7" t="s">
        <v>1532</v>
      </c>
      <c r="C4" s="588"/>
      <c r="D4" s="588"/>
      <c r="E4" s="589"/>
      <c r="F4" s="434"/>
      <c r="G4" s="434"/>
      <c r="H4" s="435"/>
      <c r="I4" s="553" t="s">
        <v>1533</v>
      </c>
      <c r="J4" s="554"/>
      <c r="K4" s="554"/>
      <c r="L4" s="555"/>
    </row>
    <row r="5" spans="1:12" ht="46.5" customHeight="1">
      <c r="A5" s="204"/>
      <c r="B5" s="437" t="s">
        <v>1379</v>
      </c>
      <c r="C5" s="277" t="s">
        <v>9</v>
      </c>
      <c r="D5" s="583" t="str">
        <f>DATA!D14</f>
        <v>BUMDES TANJUNG</v>
      </c>
      <c r="E5" s="584"/>
      <c r="F5" s="208"/>
      <c r="G5" s="208"/>
      <c r="I5" s="438" t="s">
        <v>1379</v>
      </c>
      <c r="J5" s="277" t="s">
        <v>9</v>
      </c>
      <c r="K5" s="556" t="str">
        <f>D5</f>
        <v>BUMDES TANJUNG</v>
      </c>
      <c r="L5" s="557"/>
    </row>
    <row r="6" spans="1:12" ht="31.5" customHeight="1">
      <c r="A6" s="204"/>
      <c r="B6" s="437" t="s">
        <v>1529</v>
      </c>
      <c r="C6" s="277" t="s">
        <v>9</v>
      </c>
      <c r="D6" s="592">
        <f>DATA!D17*1000</f>
        <v>23000</v>
      </c>
      <c r="E6" s="593"/>
      <c r="F6" s="208"/>
      <c r="G6" s="208"/>
      <c r="I6" s="438" t="s">
        <v>1530</v>
      </c>
      <c r="J6" s="277" t="s">
        <v>9</v>
      </c>
      <c r="K6" s="558">
        <f>DATA!D20*1000</f>
        <v>23000</v>
      </c>
      <c r="L6" s="559"/>
    </row>
    <row r="7" spans="1:12" ht="30.75" customHeight="1">
      <c r="A7" s="204"/>
      <c r="B7" s="437" t="s">
        <v>1441</v>
      </c>
      <c r="C7" s="277" t="s">
        <v>9</v>
      </c>
      <c r="D7" s="590">
        <f>DATA!D18</f>
        <v>3</v>
      </c>
      <c r="E7" s="591"/>
      <c r="F7" s="436" t="s">
        <v>1453</v>
      </c>
      <c r="I7" s="438" t="s">
        <v>1441</v>
      </c>
      <c r="J7" s="277" t="s">
        <v>9</v>
      </c>
      <c r="K7" s="560">
        <f>DATA!D21</f>
        <v>3</v>
      </c>
      <c r="L7" s="561"/>
    </row>
    <row r="8" spans="1:12" ht="51" customHeight="1">
      <c r="A8" s="204"/>
      <c r="B8" s="437" t="s">
        <v>1442</v>
      </c>
      <c r="C8" s="277" t="s">
        <v>9</v>
      </c>
      <c r="D8" s="590">
        <f>DATA!D19</f>
        <v>380</v>
      </c>
      <c r="E8" s="591"/>
      <c r="F8" s="436" t="s">
        <v>1453</v>
      </c>
      <c r="G8" s="431">
        <v>220</v>
      </c>
      <c r="I8" s="438" t="s">
        <v>1442</v>
      </c>
      <c r="J8" s="277" t="s">
        <v>9</v>
      </c>
      <c r="K8" s="560">
        <f>DATA!D22</f>
        <v>380</v>
      </c>
      <c r="L8" s="561"/>
    </row>
    <row r="9" spans="1:12" ht="30" customHeight="1" thickBot="1">
      <c r="A9" s="204"/>
      <c r="B9" s="443" t="s">
        <v>1541</v>
      </c>
      <c r="C9" s="433" t="s">
        <v>9</v>
      </c>
      <c r="D9" s="585">
        <f>IF(D7=1,D6/(380/3^0.5),(D6/(380*3^0.5)))</f>
        <v>34.94488471410893</v>
      </c>
      <c r="E9" s="586"/>
      <c r="F9" s="207"/>
      <c r="G9" s="432">
        <v>380</v>
      </c>
      <c r="I9" s="444" t="s">
        <v>1541</v>
      </c>
      <c r="J9" s="433" t="s">
        <v>9</v>
      </c>
      <c r="K9" s="564">
        <f>IF(K7=1,K6/(380/3^0.5),(K6/(380*3^0.5)))</f>
        <v>34.94488471410893</v>
      </c>
      <c r="L9" s="565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94"/>
      <c r="E12" s="595"/>
      <c r="F12" s="208"/>
      <c r="G12" s="208"/>
      <c r="I12" s="460" t="s">
        <v>1534</v>
      </c>
      <c r="J12" s="461" t="s">
        <v>9</v>
      </c>
      <c r="K12" s="594"/>
      <c r="L12" s="595"/>
    </row>
    <row r="13" spans="1:12" ht="31.5" customHeight="1">
      <c r="A13" s="204"/>
      <c r="B13" s="468" t="s">
        <v>1380</v>
      </c>
      <c r="C13" s="448" t="s">
        <v>9</v>
      </c>
      <c r="D13" s="562" t="s">
        <v>1617</v>
      </c>
      <c r="E13" s="563"/>
      <c r="F13" s="208"/>
      <c r="G13" s="208"/>
      <c r="I13" s="462" t="s">
        <v>1380</v>
      </c>
      <c r="J13" s="448" t="s">
        <v>9</v>
      </c>
      <c r="K13" s="562"/>
      <c r="L13" s="563"/>
    </row>
    <row r="14" spans="1:12" ht="30.75" customHeight="1">
      <c r="A14" s="204"/>
      <c r="B14" s="468" t="s">
        <v>1535</v>
      </c>
      <c r="C14" s="448" t="s">
        <v>9</v>
      </c>
      <c r="D14" s="566">
        <v>50</v>
      </c>
      <c r="E14" s="567"/>
      <c r="F14" s="436" t="s">
        <v>1453</v>
      </c>
      <c r="G14" s="440">
        <v>50</v>
      </c>
      <c r="I14" s="462" t="s">
        <v>1535</v>
      </c>
      <c r="J14" s="448" t="s">
        <v>9</v>
      </c>
      <c r="K14" s="566">
        <v>50</v>
      </c>
      <c r="L14" s="567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68">
        <v>35</v>
      </c>
      <c r="E16" s="569"/>
      <c r="F16" s="436"/>
      <c r="G16" s="440">
        <v>160</v>
      </c>
      <c r="I16" s="462" t="s">
        <v>1537</v>
      </c>
      <c r="J16" s="448" t="s">
        <v>9</v>
      </c>
      <c r="K16" s="572">
        <f>K9</f>
        <v>34.94488471410893</v>
      </c>
      <c r="L16" s="573"/>
    </row>
    <row r="17" spans="1:12" ht="34.5" customHeight="1">
      <c r="A17" s="204"/>
      <c r="B17" s="468" t="s">
        <v>1538</v>
      </c>
      <c r="C17" s="448" t="s">
        <v>9</v>
      </c>
      <c r="D17" s="570">
        <f>IF(D15=1,D14/(20/3^0.5),(D14/(20*3^0.5)))</f>
        <v>1.4433756729740645</v>
      </c>
      <c r="E17" s="571"/>
      <c r="F17" s="436" t="s">
        <v>1453</v>
      </c>
      <c r="G17" s="441">
        <v>200</v>
      </c>
      <c r="I17" s="462" t="s">
        <v>1538</v>
      </c>
      <c r="J17" s="448" t="s">
        <v>9</v>
      </c>
      <c r="K17" s="576">
        <f>IF(K15=1,K14/(20/3^0.5),(K14/(20*3^0.5)))</f>
        <v>1.4433756729740645</v>
      </c>
      <c r="L17" s="577"/>
    </row>
    <row r="18" spans="1:12" ht="34.5" customHeight="1">
      <c r="A18" s="204"/>
      <c r="B18" s="468" t="s">
        <v>1539</v>
      </c>
      <c r="C18" s="448" t="s">
        <v>9</v>
      </c>
      <c r="D18" s="570">
        <f>IF(D15=1,D14/(380/3^0.5),(D14/(380*3^0.5)))*1000</f>
        <v>75.96714068284551</v>
      </c>
      <c r="E18" s="571"/>
      <c r="F18" s="436" t="s">
        <v>1453</v>
      </c>
      <c r="G18" s="441">
        <v>250</v>
      </c>
      <c r="I18" s="462" t="s">
        <v>1539</v>
      </c>
      <c r="J18" s="448" t="s">
        <v>9</v>
      </c>
      <c r="K18" s="576">
        <f>IF(K15=1,K14/(380/3^0.5),(K14/(380*3^0.5)))*1000</f>
        <v>75.96714068284551</v>
      </c>
      <c r="L18" s="577"/>
    </row>
    <row r="19" spans="1:12" ht="30" customHeight="1">
      <c r="A19" s="204"/>
      <c r="B19" s="469" t="s">
        <v>1531</v>
      </c>
      <c r="C19" s="447" t="s">
        <v>9</v>
      </c>
      <c r="D19" s="570">
        <f>IF(D15=1,D14/(380/3^0.5),(D14/(380*3^0.5)))</f>
        <v>7.5967140682845505E-2</v>
      </c>
      <c r="E19" s="571"/>
      <c r="F19" s="207"/>
      <c r="G19" s="432"/>
      <c r="I19" s="464" t="s">
        <v>1531</v>
      </c>
      <c r="J19" s="447" t="s">
        <v>9</v>
      </c>
      <c r="K19" s="576">
        <f>IF(K15=1,K14/(380/3^0.5),(K14/(380*3^0.5)))</f>
        <v>7.5967140682845505E-2</v>
      </c>
      <c r="L19" s="577"/>
    </row>
    <row r="20" spans="1:12" ht="30" customHeight="1" thickBot="1">
      <c r="A20" s="204"/>
      <c r="B20" s="470" t="s">
        <v>1540</v>
      </c>
      <c r="C20" s="466" t="s">
        <v>9</v>
      </c>
      <c r="D20" s="596">
        <f>D16/D18</f>
        <v>0.46072551481332125</v>
      </c>
      <c r="E20" s="597"/>
      <c r="F20" s="207"/>
      <c r="G20" s="432"/>
      <c r="I20" s="465" t="s">
        <v>1531</v>
      </c>
      <c r="J20" s="466" t="s">
        <v>9</v>
      </c>
      <c r="K20" s="574">
        <f>K16/K18</f>
        <v>0.45999999999999996</v>
      </c>
      <c r="L20" s="575"/>
    </row>
    <row r="21" spans="1:12" ht="9.75" customHeight="1">
      <c r="A21" s="204"/>
      <c r="B21" s="455" t="s">
        <v>1540</v>
      </c>
      <c r="C21" s="456" t="s">
        <v>9</v>
      </c>
      <c r="D21" s="581">
        <v>1</v>
      </c>
      <c r="E21" s="581"/>
      <c r="F21" s="457"/>
      <c r="G21" s="458"/>
      <c r="H21" s="459"/>
      <c r="I21" s="455" t="s">
        <v>1531</v>
      </c>
      <c r="J21" s="456" t="s">
        <v>9</v>
      </c>
      <c r="K21" s="581">
        <v>1</v>
      </c>
      <c r="L21" s="581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78"/>
      <c r="C24" s="579"/>
      <c r="D24" s="579"/>
      <c r="E24" s="580"/>
      <c r="I24" s="578"/>
      <c r="J24" s="579"/>
      <c r="K24" s="579"/>
      <c r="L24" s="580"/>
    </row>
    <row r="26" spans="1:12">
      <c r="D26" s="450"/>
    </row>
    <row r="27" spans="1:12">
      <c r="D27" s="451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2" zoomScaleNormal="100" workbookViewId="0">
      <selection activeCell="D21" sqref="D21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8"/>
      <c r="C1" s="598"/>
      <c r="D1" s="59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0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0</v>
      </c>
    </row>
    <row r="10" spans="2:11" ht="20.100000000000001" customHeight="1">
      <c r="B10" s="291" t="s">
        <v>1446</v>
      </c>
      <c r="C10" s="292" t="s">
        <v>9</v>
      </c>
      <c r="D10" s="298">
        <f ca="1">RAB!K34</f>
        <v>12526399.949999999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250527.99899999998</v>
      </c>
    </row>
    <row r="12" spans="2:11" ht="9" customHeight="1">
      <c r="B12" s="599"/>
      <c r="C12" s="599"/>
      <c r="D12" s="599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1616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23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3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380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23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opLeftCell="K1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6" t="s">
        <v>1357</v>
      </c>
      <c r="C3" s="606"/>
      <c r="D3" s="606"/>
      <c r="E3" s="606"/>
      <c r="F3" s="305" t="str">
        <f>DATA!D14</f>
        <v>BUMDES TANJUNG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0" t="s">
        <v>1349</v>
      </c>
      <c r="C5" s="600" t="s">
        <v>1358</v>
      </c>
      <c r="D5" s="605" t="s">
        <v>1359</v>
      </c>
      <c r="E5" s="605" t="s">
        <v>1360</v>
      </c>
      <c r="F5" s="600" t="s">
        <v>1361</v>
      </c>
      <c r="G5" s="600"/>
      <c r="H5" s="600"/>
      <c r="I5" s="600"/>
      <c r="J5" s="600"/>
      <c r="K5" s="600" t="s">
        <v>1362</v>
      </c>
      <c r="L5" s="600"/>
      <c r="M5" s="307"/>
      <c r="N5" s="603" t="s">
        <v>1363</v>
      </c>
      <c r="O5" s="605" t="s">
        <v>1364</v>
      </c>
      <c r="P5" s="605" t="s">
        <v>1365</v>
      </c>
      <c r="Q5" s="605" t="s">
        <v>1366</v>
      </c>
      <c r="R5" s="308"/>
      <c r="S5" s="309"/>
      <c r="T5" s="601" t="s">
        <v>1367</v>
      </c>
      <c r="U5" s="310"/>
    </row>
    <row r="6" spans="1:21" ht="20.100000000000001" customHeight="1">
      <c r="B6" s="600"/>
      <c r="C6" s="600"/>
      <c r="D6" s="600"/>
      <c r="E6" s="600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4"/>
      <c r="O6" s="600"/>
      <c r="P6" s="600"/>
      <c r="Q6" s="600"/>
      <c r="R6" s="308"/>
      <c r="S6" s="309"/>
      <c r="T6" s="600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0</v>
      </c>
      <c r="D7" s="316">
        <f>C7*4/24</f>
        <v>0</v>
      </c>
      <c r="E7" s="316">
        <f>C7-D7</f>
        <v>0</v>
      </c>
      <c r="F7" s="317">
        <f ca="1">DATA!D10/1000000</f>
        <v>12.52639995</v>
      </c>
      <c r="G7" s="318">
        <f ca="1">DATA!$D$11/1000000</f>
        <v>0.250527999</v>
      </c>
      <c r="H7" s="318">
        <f>C7*DATA!$D$5/1000000</f>
        <v>0</v>
      </c>
      <c r="I7" s="318">
        <f>(C7*DATA!$D$5*DATA!$D$7)/1000000</f>
        <v>0</v>
      </c>
      <c r="J7" s="316">
        <f ca="1">SUM(F7:I7)</f>
        <v>12.776927949000001</v>
      </c>
      <c r="K7" s="319">
        <f>DATA!D9/1000000</f>
        <v>0</v>
      </c>
      <c r="L7" s="316">
        <f>((D7*DATA!$D$23)/1000000)+((E7*DATA!$D$24)/1000000)</f>
        <v>0</v>
      </c>
      <c r="M7" s="316">
        <f>K7+L7</f>
        <v>0</v>
      </c>
      <c r="N7" s="316">
        <f ca="1">M7-J7</f>
        <v>-12.776927949000001</v>
      </c>
      <c r="O7" s="314">
        <v>1</v>
      </c>
      <c r="P7" s="316">
        <f ca="1">O7*N7</f>
        <v>-12.776927949000001</v>
      </c>
      <c r="Q7" s="316">
        <f ca="1">P7</f>
        <v>-12.776927949000001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0</v>
      </c>
      <c r="D8" s="316">
        <f>C8*4/24</f>
        <v>0</v>
      </c>
      <c r="E8" s="316">
        <f t="shared" ref="E8:E32" si="0">C8-D8</f>
        <v>0</v>
      </c>
      <c r="F8" s="314"/>
      <c r="G8" s="318">
        <f ca="1">DATA!$D$11/1000000</f>
        <v>0.250527999</v>
      </c>
      <c r="H8" s="318">
        <f>C8*DATA!$D$5/1000000</f>
        <v>0</v>
      </c>
      <c r="I8" s="318">
        <f>(C8*DATA!$D$5*DATA!$D$7)/1000000</f>
        <v>0</v>
      </c>
      <c r="J8" s="316">
        <f t="shared" ref="J8:J32" ca="1" si="1">SUM(F8:I8)</f>
        <v>0.250527999</v>
      </c>
      <c r="K8" s="321"/>
      <c r="L8" s="316">
        <f>((D8*DATA!$D$23)/1000000)+((E8*DATA!$D$24)/1000000)</f>
        <v>0</v>
      </c>
      <c r="M8" s="316">
        <f t="shared" ref="M8:M32" si="2">K8+L8</f>
        <v>0</v>
      </c>
      <c r="N8" s="316">
        <f ca="1">M8-J8</f>
        <v>-0.250527999</v>
      </c>
      <c r="O8" s="315">
        <f>1/(1+'[92]Asumsi I'!$C$3)^(KKF!A8)</f>
        <v>0.89285714285714279</v>
      </c>
      <c r="P8" s="316">
        <f ca="1">O8*N8</f>
        <v>-0.22368571339285712</v>
      </c>
      <c r="Q8" s="316">
        <f ca="1">Q7+P8</f>
        <v>-13.000613662392858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0</v>
      </c>
      <c r="D9" s="316">
        <f t="shared" ref="D9:D32" si="5">C9*4/24</f>
        <v>0</v>
      </c>
      <c r="E9" s="316">
        <f t="shared" si="0"/>
        <v>0</v>
      </c>
      <c r="F9" s="314"/>
      <c r="G9" s="318">
        <f ca="1">DATA!$D$11/1000000</f>
        <v>0.250527999</v>
      </c>
      <c r="H9" s="318">
        <f>C9*DATA!$D$5/1000000</f>
        <v>0</v>
      </c>
      <c r="I9" s="318">
        <f>(C9*DATA!$D$5*DATA!$D$7)/1000000</f>
        <v>0</v>
      </c>
      <c r="J9" s="316">
        <f t="shared" ca="1" si="1"/>
        <v>0.250527999</v>
      </c>
      <c r="K9" s="316"/>
      <c r="L9" s="316">
        <f>((D9*DATA!$D$23)/1000000)+((E9*DATA!$D$24)/1000000)</f>
        <v>0</v>
      </c>
      <c r="M9" s="316">
        <f t="shared" si="2"/>
        <v>0</v>
      </c>
      <c r="N9" s="316">
        <f t="shared" ref="N9:N32" ca="1" si="6">M9-J9</f>
        <v>-0.250527999</v>
      </c>
      <c r="O9" s="322">
        <f>1/(1+'[92]Asumsi I'!$C$3)^(KKF!A9)</f>
        <v>0.79719387755102034</v>
      </c>
      <c r="P9" s="316">
        <f t="shared" ref="P9:P32" ca="1" si="7">O9*N9</f>
        <v>-0.19971938695790814</v>
      </c>
      <c r="Q9" s="316">
        <f ca="1">Q8+P9</f>
        <v>-13.200333049350766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0</v>
      </c>
      <c r="D10" s="316">
        <f t="shared" si="5"/>
        <v>0</v>
      </c>
      <c r="E10" s="316">
        <f t="shared" si="0"/>
        <v>0</v>
      </c>
      <c r="F10" s="314"/>
      <c r="G10" s="318">
        <f ca="1">DATA!$D$11/1000000</f>
        <v>0.250527999</v>
      </c>
      <c r="H10" s="318">
        <f>C10*DATA!$D$5/1000000</f>
        <v>0</v>
      </c>
      <c r="I10" s="318">
        <f>(C10*DATA!$D$5*DATA!$D$7)/1000000</f>
        <v>0</v>
      </c>
      <c r="J10" s="316">
        <f t="shared" ca="1" si="1"/>
        <v>0.250527999</v>
      </c>
      <c r="K10" s="314"/>
      <c r="L10" s="316">
        <f>((D10*DATA!$D$23)/1000000)+((E10*DATA!$D$24)/1000000)</f>
        <v>0</v>
      </c>
      <c r="M10" s="316">
        <f t="shared" si="2"/>
        <v>0</v>
      </c>
      <c r="N10" s="316">
        <f t="shared" ca="1" si="6"/>
        <v>-0.250527999</v>
      </c>
      <c r="O10" s="315">
        <f>1/(1+'[92]Asumsi I'!$C$3)^(KKF!A10)</f>
        <v>0.71178024781341087</v>
      </c>
      <c r="P10" s="316">
        <f t="shared" ca="1" si="7"/>
        <v>-0.17832088121241796</v>
      </c>
      <c r="Q10" s="316">
        <f t="shared" ref="Q10:Q30" ca="1" si="9">Q9+P10</f>
        <v>-13.378653930563184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0</v>
      </c>
      <c r="D11" s="316">
        <f t="shared" si="5"/>
        <v>0</v>
      </c>
      <c r="E11" s="316">
        <f t="shared" si="0"/>
        <v>0</v>
      </c>
      <c r="F11" s="314"/>
      <c r="G11" s="318">
        <f ca="1">DATA!$D$11/1000000</f>
        <v>0.250527999</v>
      </c>
      <c r="H11" s="318">
        <f>C11*DATA!$D$5/1000000</f>
        <v>0</v>
      </c>
      <c r="I11" s="318">
        <f>(C11*DATA!$D$5*DATA!$D$7)/1000000</f>
        <v>0</v>
      </c>
      <c r="J11" s="316">
        <f t="shared" ca="1" si="1"/>
        <v>0.250527999</v>
      </c>
      <c r="K11" s="314"/>
      <c r="L11" s="316">
        <f>((D11*DATA!$D$23)/1000000)+((E11*DATA!$D$24)/1000000)</f>
        <v>0</v>
      </c>
      <c r="M11" s="316">
        <f t="shared" si="2"/>
        <v>0</v>
      </c>
      <c r="N11" s="316">
        <f t="shared" ca="1" si="6"/>
        <v>-0.250527999</v>
      </c>
      <c r="O11" s="315">
        <f>1/(1+'[92]Asumsi I'!$C$3)^(KKF!A11)</f>
        <v>0.63551807840483121</v>
      </c>
      <c r="P11" s="316">
        <f t="shared" ca="1" si="7"/>
        <v>-0.15921507251108746</v>
      </c>
      <c r="Q11" s="316">
        <f t="shared" ca="1" si="9"/>
        <v>-13.53786900307427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0</v>
      </c>
      <c r="D12" s="316">
        <f t="shared" si="5"/>
        <v>0</v>
      </c>
      <c r="E12" s="316">
        <f t="shared" si="0"/>
        <v>0</v>
      </c>
      <c r="F12" s="314"/>
      <c r="G12" s="318">
        <f ca="1">DATA!$D$11/1000000</f>
        <v>0.250527999</v>
      </c>
      <c r="H12" s="318">
        <f>C12*DATA!$D$5/1000000</f>
        <v>0</v>
      </c>
      <c r="I12" s="318">
        <f>(C12*DATA!$D$5*DATA!$D$7)/1000000</f>
        <v>0</v>
      </c>
      <c r="J12" s="316">
        <f t="shared" ca="1" si="1"/>
        <v>0.250527999</v>
      </c>
      <c r="K12" s="314"/>
      <c r="L12" s="316">
        <f>((D12*DATA!$D$23)/1000000)+((E12*DATA!$D$24)/1000000)</f>
        <v>0</v>
      </c>
      <c r="M12" s="316">
        <f t="shared" si="2"/>
        <v>0</v>
      </c>
      <c r="N12" s="316">
        <f t="shared" ca="1" si="6"/>
        <v>-0.250527999</v>
      </c>
      <c r="O12" s="315">
        <f>1/(1+'[92]Asumsi I'!$C$3)^(KKF!A12)</f>
        <v>0.56742685571859919</v>
      </c>
      <c r="P12" s="316">
        <f t="shared" ca="1" si="7"/>
        <v>-0.14215631474204235</v>
      </c>
      <c r="Q12" s="316">
        <f t="shared" ca="1" si="9"/>
        <v>-13.680025317816312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0</v>
      </c>
      <c r="D13" s="316">
        <f t="shared" si="5"/>
        <v>0</v>
      </c>
      <c r="E13" s="316">
        <f t="shared" si="0"/>
        <v>0</v>
      </c>
      <c r="F13" s="314"/>
      <c r="G13" s="318">
        <f ca="1">DATA!$D$11/1000000</f>
        <v>0.250527999</v>
      </c>
      <c r="H13" s="318">
        <f>C13*DATA!$D$5/1000000</f>
        <v>0</v>
      </c>
      <c r="I13" s="318">
        <f>(C13*DATA!$D$5*DATA!$D$7)/1000000</f>
        <v>0</v>
      </c>
      <c r="J13" s="316">
        <f t="shared" ca="1" si="1"/>
        <v>0.250527999</v>
      </c>
      <c r="K13" s="314"/>
      <c r="L13" s="316">
        <f>((D13*DATA!$D$23)/1000000)+((E13*DATA!$D$24)/1000000)</f>
        <v>0</v>
      </c>
      <c r="M13" s="316">
        <f t="shared" si="2"/>
        <v>0</v>
      </c>
      <c r="N13" s="316">
        <f t="shared" ca="1" si="6"/>
        <v>-0.250527999</v>
      </c>
      <c r="O13" s="315">
        <f>1/(1+'[92]Asumsi I'!$C$3)^(KKF!A13)</f>
        <v>0.50663112117732068</v>
      </c>
      <c r="P13" s="316">
        <f t="shared" ca="1" si="7"/>
        <v>-0.12692528101968067</v>
      </c>
      <c r="Q13" s="316">
        <f t="shared" ca="1" si="9"/>
        <v>-13.806950598835993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0</v>
      </c>
      <c r="D14" s="316">
        <f t="shared" si="5"/>
        <v>0</v>
      </c>
      <c r="E14" s="316">
        <f t="shared" si="0"/>
        <v>0</v>
      </c>
      <c r="F14" s="314"/>
      <c r="G14" s="318">
        <f ca="1">DATA!$D$11/1000000</f>
        <v>0.250527999</v>
      </c>
      <c r="H14" s="318">
        <f>C14*DATA!$D$5/1000000</f>
        <v>0</v>
      </c>
      <c r="I14" s="318">
        <f>(C14*DATA!$D$5*DATA!$D$7)/1000000</f>
        <v>0</v>
      </c>
      <c r="J14" s="316">
        <f t="shared" ca="1" si="1"/>
        <v>0.250527999</v>
      </c>
      <c r="K14" s="314"/>
      <c r="L14" s="316">
        <f>((D14*DATA!$D$23)/1000000)+((E14*DATA!$D$24)/1000000)</f>
        <v>0</v>
      </c>
      <c r="M14" s="316">
        <f t="shared" si="2"/>
        <v>0</v>
      </c>
      <c r="N14" s="316">
        <f t="shared" ca="1" si="6"/>
        <v>-0.250527999</v>
      </c>
      <c r="O14" s="315">
        <f>1/(1+'[92]Asumsi I'!$C$3)^(KKF!A14)</f>
        <v>0.45234921533689343</v>
      </c>
      <c r="P14" s="316">
        <f t="shared" ca="1" si="7"/>
        <v>-0.11332614376757202</v>
      </c>
      <c r="Q14" s="316">
        <f t="shared" ca="1" si="9"/>
        <v>-13.920276742603566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0</v>
      </c>
      <c r="D15" s="316">
        <f t="shared" si="5"/>
        <v>0</v>
      </c>
      <c r="E15" s="316">
        <f t="shared" si="0"/>
        <v>0</v>
      </c>
      <c r="F15" s="314"/>
      <c r="G15" s="318">
        <f ca="1">DATA!$D$11/1000000</f>
        <v>0.250527999</v>
      </c>
      <c r="H15" s="318">
        <f>C15*DATA!$D$5/1000000</f>
        <v>0</v>
      </c>
      <c r="I15" s="318">
        <f>(C15*DATA!$D$5*DATA!$D$7)/1000000</f>
        <v>0</v>
      </c>
      <c r="J15" s="316">
        <f t="shared" ca="1" si="1"/>
        <v>0.250527999</v>
      </c>
      <c r="K15" s="314"/>
      <c r="L15" s="316">
        <f>((D15*DATA!$D$23)/1000000)+((E15*DATA!$D$24)/1000000)</f>
        <v>0</v>
      </c>
      <c r="M15" s="316">
        <f t="shared" si="2"/>
        <v>0</v>
      </c>
      <c r="N15" s="316">
        <f t="shared" ca="1" si="6"/>
        <v>-0.250527999</v>
      </c>
      <c r="O15" s="315">
        <f>1/(1+'[92]Asumsi I'!$C$3)^(KKF!A15)</f>
        <v>0.4038832279793691</v>
      </c>
      <c r="P15" s="316">
        <f t="shared" ca="1" si="7"/>
        <v>-0.10118405693533215</v>
      </c>
      <c r="Q15" s="316">
        <f t="shared" ca="1" si="9"/>
        <v>-14.021460799538898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0</v>
      </c>
      <c r="D16" s="316">
        <f t="shared" si="5"/>
        <v>0</v>
      </c>
      <c r="E16" s="316">
        <f t="shared" si="0"/>
        <v>0</v>
      </c>
      <c r="F16" s="314"/>
      <c r="G16" s="318">
        <f ca="1">DATA!$D$11/1000000</f>
        <v>0.250527999</v>
      </c>
      <c r="H16" s="318">
        <f>C16*DATA!$D$5/1000000</f>
        <v>0</v>
      </c>
      <c r="I16" s="318">
        <f>(C16*DATA!$D$5*DATA!$D$7)/1000000</f>
        <v>0</v>
      </c>
      <c r="J16" s="316">
        <f t="shared" ca="1" si="1"/>
        <v>0.250527999</v>
      </c>
      <c r="K16" s="314"/>
      <c r="L16" s="316">
        <f>((D16*DATA!$D$23)/1000000)+((E16*DATA!$D$24)/1000000)</f>
        <v>0</v>
      </c>
      <c r="M16" s="316">
        <f t="shared" si="2"/>
        <v>0</v>
      </c>
      <c r="N16" s="316">
        <f t="shared" ca="1" si="6"/>
        <v>-0.250527999</v>
      </c>
      <c r="O16" s="315">
        <f>1/(1+'[92]Asumsi I'!$C$3)^(KKF!A16)</f>
        <v>0.36061002498157957</v>
      </c>
      <c r="P16" s="316">
        <f t="shared" ca="1" si="7"/>
        <v>-9.0342907977975145E-2</v>
      </c>
      <c r="Q16" s="316">
        <f t="shared" ca="1" si="9"/>
        <v>-14.111803707516874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0</v>
      </c>
      <c r="D17" s="316">
        <f t="shared" si="5"/>
        <v>0</v>
      </c>
      <c r="E17" s="316">
        <f t="shared" si="0"/>
        <v>0</v>
      </c>
      <c r="F17" s="314"/>
      <c r="G17" s="318">
        <f ca="1">DATA!$D$11/1000000</f>
        <v>0.250527999</v>
      </c>
      <c r="H17" s="318">
        <f>C17*DATA!$D$5/1000000</f>
        <v>0</v>
      </c>
      <c r="I17" s="318">
        <f>(C17*DATA!$D$5*DATA!$D$7)/1000000</f>
        <v>0</v>
      </c>
      <c r="J17" s="316">
        <f t="shared" ca="1" si="1"/>
        <v>0.250527999</v>
      </c>
      <c r="K17" s="314"/>
      <c r="L17" s="316">
        <f>((D17*DATA!$D$23)/1000000)+((E17*DATA!$D$24)/1000000)</f>
        <v>0</v>
      </c>
      <c r="M17" s="316">
        <f t="shared" si="2"/>
        <v>0</v>
      </c>
      <c r="N17" s="316">
        <f t="shared" ca="1" si="6"/>
        <v>-0.250527999</v>
      </c>
      <c r="O17" s="315">
        <f>1/(1+'[92]Asumsi I'!$C$3)^(KKF!A17)</f>
        <v>0.32197323659069599</v>
      </c>
      <c r="P17" s="316">
        <f t="shared" ca="1" si="7"/>
        <v>-8.0663310694620655E-2</v>
      </c>
      <c r="Q17" s="316">
        <f t="shared" ca="1" si="9"/>
        <v>-14.192467018211495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0</v>
      </c>
      <c r="D18" s="316">
        <f t="shared" si="5"/>
        <v>0</v>
      </c>
      <c r="E18" s="316">
        <f t="shared" si="0"/>
        <v>0</v>
      </c>
      <c r="F18" s="314"/>
      <c r="G18" s="318">
        <f ca="1">DATA!$D$11/1000000</f>
        <v>0.250527999</v>
      </c>
      <c r="H18" s="318">
        <f>C18*DATA!$D$5/1000000</f>
        <v>0</v>
      </c>
      <c r="I18" s="318">
        <f>(C18*DATA!$D$5*DATA!$D$7)/1000000</f>
        <v>0</v>
      </c>
      <c r="J18" s="316">
        <f t="shared" ca="1" si="1"/>
        <v>0.250527999</v>
      </c>
      <c r="K18" s="314"/>
      <c r="L18" s="316">
        <f>((D18*DATA!$D$23)/1000000)+((E18*DATA!$D$24)/1000000)</f>
        <v>0</v>
      </c>
      <c r="M18" s="316">
        <f t="shared" si="2"/>
        <v>0</v>
      </c>
      <c r="N18" s="316">
        <f t="shared" ca="1" si="6"/>
        <v>-0.250527999</v>
      </c>
      <c r="O18" s="315">
        <f>1/(1+'[92]Asumsi I'!$C$3)^(KKF!A18)</f>
        <v>0.28747610409883567</v>
      </c>
      <c r="P18" s="316">
        <f t="shared" ca="1" si="7"/>
        <v>-7.2020813120196994E-2</v>
      </c>
      <c r="Q18" s="316">
        <f t="shared" ca="1" si="9"/>
        <v>-14.264487831331692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0</v>
      </c>
      <c r="D19" s="316">
        <f t="shared" si="5"/>
        <v>0</v>
      </c>
      <c r="E19" s="316">
        <f t="shared" si="0"/>
        <v>0</v>
      </c>
      <c r="F19" s="314"/>
      <c r="G19" s="318">
        <f ca="1">DATA!$D$11/1000000</f>
        <v>0.250527999</v>
      </c>
      <c r="H19" s="318">
        <f>C19*DATA!$D$5/1000000</f>
        <v>0</v>
      </c>
      <c r="I19" s="318">
        <f>(C19*DATA!$D$5*DATA!$D$7)/1000000</f>
        <v>0</v>
      </c>
      <c r="J19" s="316">
        <f t="shared" ca="1" si="1"/>
        <v>0.250527999</v>
      </c>
      <c r="K19" s="314"/>
      <c r="L19" s="316">
        <f>((D19*DATA!$D$23)/1000000)+((E19*DATA!$D$24)/1000000)</f>
        <v>0</v>
      </c>
      <c r="M19" s="316">
        <f t="shared" si="2"/>
        <v>0</v>
      </c>
      <c r="N19" s="316">
        <f t="shared" ca="1" si="6"/>
        <v>-0.250527999</v>
      </c>
      <c r="O19" s="315">
        <f>1/(1+'[92]Asumsi I'!$C$3)^(KKF!A19)</f>
        <v>0.25667509294538904</v>
      </c>
      <c r="P19" s="316">
        <f t="shared" ca="1" si="7"/>
        <v>-6.4304297428747326E-2</v>
      </c>
      <c r="Q19" s="316">
        <f t="shared" ca="1" si="9"/>
        <v>-14.328792128760441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0</v>
      </c>
      <c r="D20" s="316">
        <f t="shared" si="5"/>
        <v>0</v>
      </c>
      <c r="E20" s="316">
        <f t="shared" si="0"/>
        <v>0</v>
      </c>
      <c r="F20" s="314"/>
      <c r="G20" s="318">
        <f ca="1">DATA!$D$11/1000000</f>
        <v>0.250527999</v>
      </c>
      <c r="H20" s="318">
        <f>C20*DATA!$D$5/1000000</f>
        <v>0</v>
      </c>
      <c r="I20" s="318">
        <f>(C20*DATA!$D$5*DATA!$D$7)/1000000</f>
        <v>0</v>
      </c>
      <c r="J20" s="316">
        <f t="shared" ca="1" si="1"/>
        <v>0.250527999</v>
      </c>
      <c r="K20" s="314"/>
      <c r="L20" s="316">
        <f>((D20*DATA!$D$23)/1000000)+((E20*DATA!$D$24)/1000000)</f>
        <v>0</v>
      </c>
      <c r="M20" s="316">
        <f t="shared" si="2"/>
        <v>0</v>
      </c>
      <c r="N20" s="316">
        <f t="shared" ca="1" si="6"/>
        <v>-0.250527999</v>
      </c>
      <c r="O20" s="315">
        <f>1/(1+'[92]Asumsi I'!$C$3)^(KKF!A20)</f>
        <v>0.22917419012981158</v>
      </c>
      <c r="P20" s="316">
        <f t="shared" ca="1" si="7"/>
        <v>-5.7414551275667247E-2</v>
      </c>
      <c r="Q20" s="316">
        <f t="shared" ca="1" si="9"/>
        <v>-14.386206680036107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0</v>
      </c>
      <c r="D21" s="316">
        <f t="shared" si="5"/>
        <v>0</v>
      </c>
      <c r="E21" s="316">
        <f t="shared" si="0"/>
        <v>0</v>
      </c>
      <c r="F21" s="314"/>
      <c r="G21" s="318">
        <f ca="1">DATA!$D$11/1000000</f>
        <v>0.250527999</v>
      </c>
      <c r="H21" s="318">
        <f>C21*DATA!$D$5/1000000</f>
        <v>0</v>
      </c>
      <c r="I21" s="318">
        <f>(C21*DATA!$D$5*DATA!$D$7)/1000000</f>
        <v>0</v>
      </c>
      <c r="J21" s="316">
        <f t="shared" ca="1" si="1"/>
        <v>0.250527999</v>
      </c>
      <c r="K21" s="314"/>
      <c r="L21" s="316">
        <f>((D21*DATA!$D$23)/1000000)+((E21*DATA!$D$24)/1000000)</f>
        <v>0</v>
      </c>
      <c r="M21" s="316">
        <f t="shared" si="2"/>
        <v>0</v>
      </c>
      <c r="N21" s="316">
        <f t="shared" ca="1" si="6"/>
        <v>-0.250527999</v>
      </c>
      <c r="O21" s="315">
        <f>1/(1+'[92]Asumsi I'!$C$3)^(KKF!A21)</f>
        <v>0.20461981261590317</v>
      </c>
      <c r="P21" s="316">
        <f t="shared" ca="1" si="7"/>
        <v>-5.1262992210417177E-2</v>
      </c>
      <c r="Q21" s="316">
        <f t="shared" ca="1" si="9"/>
        <v>-14.437469672246523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0</v>
      </c>
      <c r="D22" s="316">
        <f t="shared" si="5"/>
        <v>0</v>
      </c>
      <c r="E22" s="316">
        <f t="shared" si="0"/>
        <v>0</v>
      </c>
      <c r="F22" s="314"/>
      <c r="G22" s="318">
        <f ca="1">DATA!$D$11/1000000</f>
        <v>0.250527999</v>
      </c>
      <c r="H22" s="318">
        <f>C22*DATA!$D$5/1000000</f>
        <v>0</v>
      </c>
      <c r="I22" s="318">
        <f>(C22*DATA!$D$5*DATA!$D$7)/1000000</f>
        <v>0</v>
      </c>
      <c r="J22" s="316">
        <f t="shared" ca="1" si="1"/>
        <v>0.250527999</v>
      </c>
      <c r="K22" s="314"/>
      <c r="L22" s="316">
        <f>((D22*DATA!$D$23)/1000000)+((E22*DATA!$D$24)/1000000)</f>
        <v>0</v>
      </c>
      <c r="M22" s="316">
        <f t="shared" si="2"/>
        <v>0</v>
      </c>
      <c r="N22" s="316">
        <f t="shared" ca="1" si="6"/>
        <v>-0.250527999</v>
      </c>
      <c r="O22" s="315">
        <f>1/(1+'[92]Asumsi I'!$C$3)^(KKF!A22)</f>
        <v>0.18269626126419927</v>
      </c>
      <c r="P22" s="316">
        <f t="shared" ca="1" si="7"/>
        <v>-4.5770528759301057E-2</v>
      </c>
      <c r="Q22" s="316">
        <f t="shared" ca="1" si="9"/>
        <v>-14.483240201005824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0</v>
      </c>
      <c r="D23" s="316">
        <f t="shared" si="5"/>
        <v>0</v>
      </c>
      <c r="E23" s="316">
        <f t="shared" si="0"/>
        <v>0</v>
      </c>
      <c r="F23" s="314"/>
      <c r="G23" s="318">
        <f ca="1">DATA!$D$11/1000000</f>
        <v>0.250527999</v>
      </c>
      <c r="H23" s="318">
        <f>C23*DATA!$D$5/1000000</f>
        <v>0</v>
      </c>
      <c r="I23" s="318">
        <f>(C23*DATA!$D$5*DATA!$D$7)/1000000</f>
        <v>0</v>
      </c>
      <c r="J23" s="316">
        <f t="shared" ca="1" si="1"/>
        <v>0.250527999</v>
      </c>
      <c r="K23" s="314"/>
      <c r="L23" s="316">
        <f>((D23*DATA!$D$23)/1000000)+((E23*DATA!$D$24)/1000000)</f>
        <v>0</v>
      </c>
      <c r="M23" s="316">
        <f t="shared" si="2"/>
        <v>0</v>
      </c>
      <c r="N23" s="316">
        <f t="shared" ca="1" si="6"/>
        <v>-0.250527999</v>
      </c>
      <c r="O23" s="315">
        <f>1/(1+'[92]Asumsi I'!$C$3)^(KKF!A23)</f>
        <v>0.16312166184303503</v>
      </c>
      <c r="P23" s="316">
        <f t="shared" ca="1" si="7"/>
        <v>-4.086654353509022E-2</v>
      </c>
      <c r="Q23" s="316">
        <f t="shared" ca="1" si="9"/>
        <v>-14.524106744540914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0</v>
      </c>
      <c r="D24" s="316">
        <f t="shared" si="5"/>
        <v>0</v>
      </c>
      <c r="E24" s="316">
        <f t="shared" si="0"/>
        <v>0</v>
      </c>
      <c r="F24" s="314"/>
      <c r="G24" s="318">
        <f ca="1">DATA!$D$11/1000000</f>
        <v>0.250527999</v>
      </c>
      <c r="H24" s="318">
        <f>C24*DATA!$D$5/1000000</f>
        <v>0</v>
      </c>
      <c r="I24" s="318">
        <f>(C24*DATA!$D$5*DATA!$D$7)/1000000</f>
        <v>0</v>
      </c>
      <c r="J24" s="316">
        <f t="shared" ca="1" si="1"/>
        <v>0.250527999</v>
      </c>
      <c r="K24" s="314"/>
      <c r="L24" s="316">
        <f>((D24*DATA!$D$23)/1000000)+((E24*DATA!$D$24)/1000000)</f>
        <v>0</v>
      </c>
      <c r="M24" s="316">
        <f t="shared" si="2"/>
        <v>0</v>
      </c>
      <c r="N24" s="316">
        <f t="shared" ca="1" si="6"/>
        <v>-0.250527999</v>
      </c>
      <c r="O24" s="315">
        <f>1/(1+'[92]Asumsi I'!$C$3)^(KKF!A24)</f>
        <v>0.14564434093128129</v>
      </c>
      <c r="P24" s="316">
        <f t="shared" ca="1" si="7"/>
        <v>-3.6487985299187696E-2</v>
      </c>
      <c r="Q24" s="316">
        <f t="shared" ca="1" si="9"/>
        <v>-14.560594729840101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0</v>
      </c>
      <c r="D25" s="316">
        <f t="shared" si="5"/>
        <v>0</v>
      </c>
      <c r="E25" s="316">
        <f t="shared" si="0"/>
        <v>0</v>
      </c>
      <c r="F25" s="314"/>
      <c r="G25" s="318">
        <f ca="1">DATA!$D$11/1000000</f>
        <v>0.250527999</v>
      </c>
      <c r="H25" s="318">
        <f>C25*DATA!$D$5/1000000</f>
        <v>0</v>
      </c>
      <c r="I25" s="318">
        <f>(C25*DATA!$D$5*DATA!$D$7)/1000000</f>
        <v>0</v>
      </c>
      <c r="J25" s="316">
        <f t="shared" ca="1" si="1"/>
        <v>0.250527999</v>
      </c>
      <c r="K25" s="314"/>
      <c r="L25" s="316">
        <f>((D25*DATA!$D$23)/1000000)+((E25*DATA!$D$24)/1000000)</f>
        <v>0</v>
      </c>
      <c r="M25" s="316">
        <f t="shared" si="2"/>
        <v>0</v>
      </c>
      <c r="N25" s="316">
        <f t="shared" ca="1" si="6"/>
        <v>-0.250527999</v>
      </c>
      <c r="O25" s="315">
        <f>1/(1+'[92]Asumsi I'!$C$3)^(KKF!A25)</f>
        <v>0.13003959011721541</v>
      </c>
      <c r="P25" s="316">
        <f t="shared" ca="1" si="7"/>
        <v>-3.2578558302846151E-2</v>
      </c>
      <c r="Q25" s="316">
        <f t="shared" ca="1" si="9"/>
        <v>-14.593173288142948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0</v>
      </c>
      <c r="D26" s="316">
        <f t="shared" si="5"/>
        <v>0</v>
      </c>
      <c r="E26" s="316">
        <f t="shared" si="0"/>
        <v>0</v>
      </c>
      <c r="F26" s="314"/>
      <c r="G26" s="318">
        <f ca="1">DATA!$D$11/1000000</f>
        <v>0.250527999</v>
      </c>
      <c r="H26" s="318">
        <f>C26*DATA!$D$5/1000000</f>
        <v>0</v>
      </c>
      <c r="I26" s="318">
        <f>(C26*DATA!$D$5*DATA!$D$7)/1000000</f>
        <v>0</v>
      </c>
      <c r="J26" s="316">
        <f t="shared" ca="1" si="1"/>
        <v>0.250527999</v>
      </c>
      <c r="K26" s="314"/>
      <c r="L26" s="316">
        <f>((D26*DATA!$D$23)/1000000)+((E26*DATA!$D$24)/1000000)</f>
        <v>0</v>
      </c>
      <c r="M26" s="316">
        <f t="shared" si="2"/>
        <v>0</v>
      </c>
      <c r="N26" s="316">
        <f t="shared" ca="1" si="6"/>
        <v>-0.250527999</v>
      </c>
      <c r="O26" s="315">
        <f>1/(1+'[92]Asumsi I'!$C$3)^(KKF!A26)</f>
        <v>0.1161067768903709</v>
      </c>
      <c r="P26" s="316">
        <f t="shared" ca="1" si="7"/>
        <v>-2.9087998484684064E-2</v>
      </c>
      <c r="Q26" s="316">
        <f t="shared" ca="1" si="9"/>
        <v>-14.622261286627632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0</v>
      </c>
      <c r="D27" s="316">
        <f t="shared" si="5"/>
        <v>0</v>
      </c>
      <c r="E27" s="316">
        <f t="shared" si="0"/>
        <v>0</v>
      </c>
      <c r="F27" s="314"/>
      <c r="G27" s="318">
        <f ca="1">DATA!$D$11/1000000</f>
        <v>0.250527999</v>
      </c>
      <c r="H27" s="318">
        <f>C27*DATA!$D$5/1000000</f>
        <v>0</v>
      </c>
      <c r="I27" s="318">
        <f>(C27*DATA!$D$5*DATA!$D$7)/1000000</f>
        <v>0</v>
      </c>
      <c r="J27" s="316">
        <f t="shared" ca="1" si="1"/>
        <v>0.250527999</v>
      </c>
      <c r="K27" s="314"/>
      <c r="L27" s="316">
        <f>((D27*DATA!$D$23)/1000000)+((E27*DATA!$D$24)/1000000)</f>
        <v>0</v>
      </c>
      <c r="M27" s="316">
        <f t="shared" si="2"/>
        <v>0</v>
      </c>
      <c r="N27" s="316">
        <f t="shared" ca="1" si="6"/>
        <v>-0.250527999</v>
      </c>
      <c r="O27" s="315">
        <f>1/(1+'[92]Asumsi I'!$C$3)^(KKF!A27)</f>
        <v>0.1036667650806883</v>
      </c>
      <c r="P27" s="316">
        <f t="shared" ca="1" si="7"/>
        <v>-2.5971427218467912E-2</v>
      </c>
      <c r="Q27" s="316">
        <f t="shared" ca="1" si="9"/>
        <v>-14.648232713846101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0</v>
      </c>
      <c r="D28" s="316">
        <f t="shared" si="5"/>
        <v>0</v>
      </c>
      <c r="E28" s="316">
        <f t="shared" si="0"/>
        <v>0</v>
      </c>
      <c r="F28" s="314"/>
      <c r="G28" s="318">
        <f ca="1">DATA!$D$11/1000000</f>
        <v>0.250527999</v>
      </c>
      <c r="H28" s="318">
        <f>C28*DATA!$D$5/1000000</f>
        <v>0</v>
      </c>
      <c r="I28" s="318">
        <f>(C28*DATA!$D$5*DATA!$D$7)/1000000</f>
        <v>0</v>
      </c>
      <c r="J28" s="316">
        <f t="shared" ca="1" si="1"/>
        <v>0.250527999</v>
      </c>
      <c r="K28" s="314"/>
      <c r="L28" s="316">
        <f>((D28*DATA!$D$23)/1000000)+((E28*DATA!$D$24)/1000000)</f>
        <v>0</v>
      </c>
      <c r="M28" s="316">
        <f t="shared" si="2"/>
        <v>0</v>
      </c>
      <c r="N28" s="316">
        <f t="shared" ca="1" si="6"/>
        <v>-0.250527999</v>
      </c>
      <c r="O28" s="315">
        <f>1/(1+'[92]Asumsi I'!$C$3)^(KKF!A28)</f>
        <v>9.2559611679185971E-2</v>
      </c>
      <c r="P28" s="316">
        <f t="shared" ca="1" si="7"/>
        <v>-2.318877430220349E-2</v>
      </c>
      <c r="Q28" s="316">
        <f t="shared" ca="1" si="9"/>
        <v>-14.671421488148304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0</v>
      </c>
      <c r="D29" s="316">
        <f t="shared" si="5"/>
        <v>0</v>
      </c>
      <c r="E29" s="316">
        <f t="shared" si="0"/>
        <v>0</v>
      </c>
      <c r="F29" s="314"/>
      <c r="G29" s="318">
        <f ca="1">DATA!$D$11/1000000</f>
        <v>0.250527999</v>
      </c>
      <c r="H29" s="318">
        <f>C29*DATA!$D$5/1000000</f>
        <v>0</v>
      </c>
      <c r="I29" s="318">
        <f>(C29*DATA!$D$5*DATA!$D$7)/1000000</f>
        <v>0</v>
      </c>
      <c r="J29" s="316">
        <f t="shared" ca="1" si="1"/>
        <v>0.250527999</v>
      </c>
      <c r="K29" s="314"/>
      <c r="L29" s="316">
        <f>((D29*DATA!$D$23)/1000000)+((E29*DATA!$D$24)/1000000)</f>
        <v>0</v>
      </c>
      <c r="M29" s="316">
        <f t="shared" si="2"/>
        <v>0</v>
      </c>
      <c r="N29" s="316">
        <f t="shared" ca="1" si="6"/>
        <v>-0.250527999</v>
      </c>
      <c r="O29" s="315">
        <f>1/(1+'[92]Asumsi I'!$C$3)^(KKF!A29)</f>
        <v>8.2642510427844609E-2</v>
      </c>
      <c r="P29" s="316">
        <f t="shared" ca="1" si="7"/>
        <v>-2.0704262769824545E-2</v>
      </c>
      <c r="Q29" s="316">
        <f t="shared" ca="1" si="9"/>
        <v>-14.692125750918128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0</v>
      </c>
      <c r="D30" s="316">
        <f t="shared" si="5"/>
        <v>0</v>
      </c>
      <c r="E30" s="316">
        <f t="shared" si="0"/>
        <v>0</v>
      </c>
      <c r="F30" s="314"/>
      <c r="G30" s="318">
        <f ca="1">DATA!$D$11/1000000</f>
        <v>0.250527999</v>
      </c>
      <c r="H30" s="318">
        <f>C30*DATA!$D$5/1000000</f>
        <v>0</v>
      </c>
      <c r="I30" s="318">
        <f>(C30*DATA!$D$5*DATA!$D$7)/1000000</f>
        <v>0</v>
      </c>
      <c r="J30" s="316">
        <f t="shared" ca="1" si="1"/>
        <v>0.250527999</v>
      </c>
      <c r="K30" s="314"/>
      <c r="L30" s="316">
        <f>((D30*DATA!$D$23)/1000000)+((E30*DATA!$D$24)/1000000)</f>
        <v>0</v>
      </c>
      <c r="M30" s="316">
        <f t="shared" si="2"/>
        <v>0</v>
      </c>
      <c r="N30" s="316">
        <f t="shared" ca="1" si="6"/>
        <v>-0.250527999</v>
      </c>
      <c r="O30" s="315">
        <f>1/(1+'[92]Asumsi I'!$C$3)^(KKF!A30)</f>
        <v>7.3787955739146982E-2</v>
      </c>
      <c r="P30" s="316">
        <f t="shared" ca="1" si="7"/>
        <v>-1.8485948901629058E-2</v>
      </c>
      <c r="Q30" s="316">
        <f t="shared" ca="1" si="9"/>
        <v>-14.710611699819758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0</v>
      </c>
      <c r="D31" s="316">
        <f t="shared" si="5"/>
        <v>0</v>
      </c>
      <c r="E31" s="316">
        <f t="shared" si="0"/>
        <v>0</v>
      </c>
      <c r="F31" s="314"/>
      <c r="G31" s="318">
        <f ca="1">DATA!$D$11/1000000</f>
        <v>0.250527999</v>
      </c>
      <c r="H31" s="318">
        <f>C31*DATA!$D$5/1000000</f>
        <v>0</v>
      </c>
      <c r="I31" s="318">
        <f>(C31*DATA!$D$5*DATA!$D$7)/1000000</f>
        <v>0</v>
      </c>
      <c r="J31" s="316">
        <f t="shared" ca="1" si="1"/>
        <v>0.250527999</v>
      </c>
      <c r="K31" s="314"/>
      <c r="L31" s="316">
        <f>((D31*DATA!$D$23)/1000000)+((E31*DATA!$D$24)/1000000)</f>
        <v>0</v>
      </c>
      <c r="M31" s="316">
        <f t="shared" si="2"/>
        <v>0</v>
      </c>
      <c r="N31" s="316">
        <f t="shared" ca="1" si="6"/>
        <v>-0.250527999</v>
      </c>
      <c r="O31" s="315">
        <f>1/(1+'[92]Asumsi I'!$C$3)^(KKF!A31)</f>
        <v>6.5882103338524081E-2</v>
      </c>
      <c r="P31" s="316">
        <f t="shared" ca="1" si="7"/>
        <v>-1.6505311519311658E-2</v>
      </c>
      <c r="Q31" s="316">
        <f ca="1">Q30+P31</f>
        <v>-14.72711701133907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0</v>
      </c>
      <c r="D32" s="316">
        <f t="shared" si="5"/>
        <v>0</v>
      </c>
      <c r="E32" s="316">
        <f t="shared" si="0"/>
        <v>0</v>
      </c>
      <c r="F32" s="314"/>
      <c r="G32" s="318">
        <f ca="1">DATA!$D$11/1000000</f>
        <v>0.250527999</v>
      </c>
      <c r="H32" s="318">
        <f>C32*DATA!$D$5/1000000</f>
        <v>0</v>
      </c>
      <c r="I32" s="318">
        <f>(C32*DATA!$D$5*DATA!$D$7)/1000000</f>
        <v>0</v>
      </c>
      <c r="J32" s="316">
        <f t="shared" ca="1" si="1"/>
        <v>0.250527999</v>
      </c>
      <c r="K32" s="314"/>
      <c r="L32" s="316">
        <f>((D32*DATA!$D$23)/1000000)+((E32*DATA!$D$24)/1000000)</f>
        <v>0</v>
      </c>
      <c r="M32" s="316">
        <f t="shared" si="2"/>
        <v>0</v>
      </c>
      <c r="N32" s="316">
        <f t="shared" ca="1" si="6"/>
        <v>-0.250527999</v>
      </c>
      <c r="O32" s="315">
        <f>1/(1+'[92]Asumsi I'!$C$3)^(KKF!A32)</f>
        <v>5.8823306552253637E-2</v>
      </c>
      <c r="P32" s="316">
        <f t="shared" ca="1" si="7"/>
        <v>-1.4736885285099692E-2</v>
      </c>
      <c r="Q32" s="316">
        <f ca="1">Q31+P32</f>
        <v>-14.741853896624169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2" t="s">
        <v>1374</v>
      </c>
      <c r="G33" s="602"/>
      <c r="H33" s="602"/>
      <c r="I33" s="324"/>
      <c r="J33" s="325">
        <f ca="1">SUM(J7:J32)</f>
        <v>19.040127923999979</v>
      </c>
      <c r="K33" s="602" t="s">
        <v>1375</v>
      </c>
      <c r="L33" s="602"/>
      <c r="M33" s="325">
        <f>SUM(M7:M32)</f>
        <v>0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-51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-13.16236955055729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49"/>
  <sheetViews>
    <sheetView showGridLines="0" zoomScale="85" zoomScaleNormal="85" zoomScaleSheetLayoutView="70" workbookViewId="0">
      <pane ySplit="13" topLeftCell="A14" activePane="bottomLeft" state="frozen"/>
      <selection activeCell="H1093" sqref="H1093"/>
      <selection pane="bottomLeft" activeCell="C20" sqref="C20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6" t="s">
        <v>1036</v>
      </c>
      <c r="P3" s="626"/>
      <c r="Q3" s="346"/>
      <c r="T3" s="344"/>
      <c r="U3" s="345" t="s">
        <v>1041</v>
      </c>
      <c r="V3" s="344"/>
    </row>
    <row r="4" spans="1:22" ht="18.75">
      <c r="B4" s="627" t="s">
        <v>1023</v>
      </c>
      <c r="C4" s="627"/>
      <c r="D4" s="627"/>
      <c r="E4" s="627"/>
      <c r="F4" s="627"/>
      <c r="G4" s="627"/>
      <c r="H4" s="627"/>
      <c r="I4" s="627"/>
      <c r="J4" s="627"/>
      <c r="K4" s="627"/>
      <c r="O4" s="626"/>
      <c r="P4" s="626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09" t="str">
        <f>DATA!D14</f>
        <v>BUMDES TANJUNG</v>
      </c>
      <c r="H6" s="610"/>
      <c r="I6" s="610"/>
      <c r="J6" s="610"/>
      <c r="K6" s="610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29" t="s">
        <v>0</v>
      </c>
      <c r="C11" s="631" t="s">
        <v>1</v>
      </c>
      <c r="D11" s="620" t="s">
        <v>42</v>
      </c>
      <c r="E11" s="620" t="s">
        <v>43</v>
      </c>
      <c r="F11" s="620" t="s">
        <v>2</v>
      </c>
      <c r="G11" s="634" t="s">
        <v>41</v>
      </c>
      <c r="H11" s="620" t="s">
        <v>3</v>
      </c>
      <c r="I11" s="620"/>
      <c r="J11" s="620"/>
      <c r="K11" s="621"/>
      <c r="O11" s="351"/>
      <c r="P11" s="352"/>
      <c r="Q11" s="351"/>
      <c r="S11" s="353"/>
      <c r="T11" s="354"/>
      <c r="U11" s="354"/>
      <c r="V11" s="354"/>
    </row>
    <row r="12" spans="1:22">
      <c r="B12" s="630"/>
      <c r="C12" s="632"/>
      <c r="D12" s="624"/>
      <c r="E12" s="624"/>
      <c r="F12" s="624"/>
      <c r="G12" s="635"/>
      <c r="H12" s="622" t="s">
        <v>46</v>
      </c>
      <c r="I12" s="622" t="s">
        <v>5</v>
      </c>
      <c r="J12" s="624" t="s">
        <v>47</v>
      </c>
      <c r="K12" s="625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30"/>
      <c r="C13" s="633"/>
      <c r="D13" s="624"/>
      <c r="E13" s="624"/>
      <c r="F13" s="624"/>
      <c r="G13" s="636"/>
      <c r="H13" s="623"/>
      <c r="I13" s="623"/>
      <c r="J13" s="624"/>
      <c r="K13" s="625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7"/>
      <c r="C15" s="498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0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499" t="s">
        <v>480</v>
      </c>
      <c r="C16" s="496" t="s">
        <v>1612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0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2" ca="1" si="8">IF(OR(D16="MDU",D16="MDU-KD"),(IF($O$3="RAB NON MDU","PLN KD",G16*F16)),0)</f>
        <v>0</v>
      </c>
      <c r="I16" s="361">
        <f t="shared" ref="I16:I22" ca="1" si="9">IF(D16="HDW",G16*F16,0)</f>
        <v>0</v>
      </c>
      <c r="J16" s="361">
        <f t="shared" ref="J16:J22" ca="1" si="10">IF(D16="JASA",G16*F16,0)</f>
        <v>0</v>
      </c>
      <c r="K16" s="362">
        <f t="shared" ref="K16:K22" ca="1" si="11">SUM(H16:J16)</f>
        <v>0</v>
      </c>
    </row>
    <row r="17" spans="2:11">
      <c r="B17" s="486" t="s">
        <v>1035</v>
      </c>
      <c r="C17" s="487" t="s">
        <v>1619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01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>
      <c r="B18" s="509">
        <v>1</v>
      </c>
      <c r="C18" s="109" t="s">
        <v>483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01">
        <f>F17*1</f>
        <v>1</v>
      </c>
      <c r="G18" s="360">
        <f ca="1">IF(ISERROR(OFFSET('HARGA SATUAN'!$I$6,MATCH(RAB!C18,'HARGA SATUAN'!$C$7:$C$1492,0),0)),0,OFFSET('HARGA SATUAN'!$I$6,MATCH(RAB!C18,'HARGA SATUAN'!$C$7:$C$1492,0),0))</f>
        <v>1719200</v>
      </c>
      <c r="H18" s="361">
        <f t="shared" ca="1" si="8"/>
        <v>0</v>
      </c>
      <c r="I18" s="361">
        <f t="shared" ca="1" si="9"/>
        <v>1719200</v>
      </c>
      <c r="J18" s="361">
        <f t="shared" ca="1" si="10"/>
        <v>0</v>
      </c>
      <c r="K18" s="362">
        <f t="shared" ca="1" si="11"/>
        <v>1719200</v>
      </c>
    </row>
    <row r="19" spans="2:11">
      <c r="B19" s="509">
        <v>2</v>
      </c>
      <c r="C19" s="510" t="s">
        <v>512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01">
        <f>F17*1</f>
        <v>1</v>
      </c>
      <c r="G19" s="360">
        <f ca="1">IF(ISERROR(OFFSET('HARGA SATUAN'!$I$6,MATCH(RAB!C19,'HARGA SATUAN'!$C$7:$C$1492,0),0)),0,OFFSET('HARGA SATUAN'!$I$6,MATCH(RAB!C19,'HARGA SATUAN'!$C$7:$C$1492,0),0))</f>
        <v>3564900</v>
      </c>
      <c r="H19" s="361">
        <f t="shared" ca="1" si="8"/>
        <v>3564900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3564900</v>
      </c>
    </row>
    <row r="20" spans="2:11">
      <c r="B20" s="509">
        <v>3</v>
      </c>
      <c r="C20" s="510" t="s">
        <v>1142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501">
        <f>F17*1</f>
        <v>1</v>
      </c>
      <c r="G20" s="360">
        <f ca="1">IF(ISERROR(OFFSET('HARGA SATUAN'!$I$6,MATCH(RAB!C20,'HARGA SATUAN'!$C$7:$C$1492,0),0)),0,OFFSET('HARGA SATUAN'!$I$6,MATCH(RAB!C20,'HARGA SATUAN'!$C$7:$C$1492,0),0))</f>
        <v>1113900</v>
      </c>
      <c r="H20" s="361">
        <f t="shared" ca="1" si="8"/>
        <v>0</v>
      </c>
      <c r="I20" s="361">
        <f t="shared" ca="1" si="9"/>
        <v>1113900</v>
      </c>
      <c r="J20" s="361">
        <f t="shared" ca="1" si="10"/>
        <v>0</v>
      </c>
      <c r="K20" s="362">
        <f t="shared" ca="1" si="11"/>
        <v>1113900</v>
      </c>
    </row>
    <row r="21" spans="2:11">
      <c r="B21" s="509">
        <v>4</v>
      </c>
      <c r="C21" s="510" t="s">
        <v>77</v>
      </c>
      <c r="D21" s="358" t="str">
        <f ca="1">IF(ISERROR(OFFSET('HARGA SATUAN'!$D$6,MATCH(RAB!C21,'HARGA SATUAN'!$C$7:$C$1492,0),0)),"",OFFSET('HARGA SATUAN'!$D$6,MATCH(RAB!C21,'HARGA SATUAN'!$C$7:$C$1492,0),0))</f>
        <v>MDU-KD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501">
        <v>50</v>
      </c>
      <c r="G21" s="360">
        <f ca="1">IF(ISERROR(OFFSET('HARGA SATUAN'!$I$6,MATCH(RAB!C21,'HARGA SATUAN'!$C$7:$C$1492,0),0)),0,OFFSET('HARGA SATUAN'!$I$6,MATCH(RAB!C21,'HARGA SATUAN'!$C$7:$C$1492,0),0))</f>
        <v>13500</v>
      </c>
      <c r="H21" s="361">
        <f t="shared" ca="1" si="8"/>
        <v>675000</v>
      </c>
      <c r="I21" s="361">
        <f t="shared" ca="1" si="9"/>
        <v>0</v>
      </c>
      <c r="J21" s="361">
        <f t="shared" ca="1" si="10"/>
        <v>0</v>
      </c>
      <c r="K21" s="362">
        <f t="shared" ca="1" si="11"/>
        <v>675000</v>
      </c>
    </row>
    <row r="22" spans="2:11">
      <c r="B22" s="509">
        <v>5</v>
      </c>
      <c r="C22" s="510" t="s">
        <v>799</v>
      </c>
      <c r="D22" s="358" t="str">
        <f ca="1">IF(ISERROR(OFFSET('HARGA SATUAN'!$D$6,MATCH(RAB!C22,'HARGA SATUAN'!$C$7:$C$1492,0),0)),"",OFFSET('HARGA SATUAN'!$D$6,MATCH(RAB!C22,'HARGA SATUAN'!$C$7:$C$1492,0),0))</f>
        <v>JASA</v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1">
        <f>F17*1</f>
        <v>1</v>
      </c>
      <c r="G22" s="360">
        <f ca="1">IF(ISERROR(OFFSET('HARGA SATUAN'!$I$6,MATCH(RAB!C22,'HARGA SATUAN'!$C$7:$C$1492,0),0)),0,OFFSET('HARGA SATUAN'!$I$6,MATCH(RAB!C22,'HARGA SATUAN'!$C$7:$C$1492,0),0))</f>
        <v>106400</v>
      </c>
      <c r="H22" s="361">
        <f t="shared" ca="1" si="8"/>
        <v>0</v>
      </c>
      <c r="I22" s="361">
        <f t="shared" ca="1" si="9"/>
        <v>0</v>
      </c>
      <c r="J22" s="361">
        <f t="shared" ca="1" si="10"/>
        <v>106400</v>
      </c>
      <c r="K22" s="362">
        <f t="shared" ca="1" si="11"/>
        <v>106400</v>
      </c>
    </row>
    <row r="23" spans="2:11">
      <c r="B23" s="486"/>
      <c r="C23" s="487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1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" ca="1" si="12">IF(OR(D23="MDU",D23="MDU-KD"),(IF($O$3="RAB NON MDU","PLN KD",G23*F23)),0)</f>
        <v>0</v>
      </c>
      <c r="I23" s="361">
        <f t="shared" ref="I23" ca="1" si="13">IF(D23="HDW",G23*F23,0)</f>
        <v>0</v>
      </c>
      <c r="J23" s="361">
        <f t="shared" ref="J23" ca="1" si="14">IF(D23="JASA",G23*F23,0)</f>
        <v>0</v>
      </c>
      <c r="K23" s="362">
        <f t="shared" ref="K23" ca="1" si="15">SUM(H23:J23)</f>
        <v>0</v>
      </c>
    </row>
    <row r="24" spans="2:11">
      <c r="B24" s="499" t="s">
        <v>505</v>
      </c>
      <c r="C24" s="496" t="s">
        <v>1614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0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ref="H24:H25" ca="1" si="16">IF(OR(D24="MDU",D24="MDU-KD"),(IF($O$3="RAB NON MDU","PLN KD",G24*F24)),0)</f>
        <v>0</v>
      </c>
      <c r="I24" s="361">
        <f t="shared" ref="I24:I25" ca="1" si="17">IF(D24="HDW",G24*F24,0)</f>
        <v>0</v>
      </c>
      <c r="J24" s="361">
        <f t="shared" ref="J24:J25" ca="1" si="18">IF(D24="JASA",G24*F24,0)</f>
        <v>0</v>
      </c>
      <c r="K24" s="362">
        <f t="shared" ref="K24:K25" ca="1" si="19">SUM(H24:J24)</f>
        <v>0</v>
      </c>
    </row>
    <row r="25" spans="2:11">
      <c r="B25" s="502">
        <v>1</v>
      </c>
      <c r="C25" s="508" t="s">
        <v>982</v>
      </c>
      <c r="D25" s="358" t="str">
        <f ca="1">IF(ISERROR(OFFSET('HARGA SATUAN'!$D$6,MATCH(RAB!C25,'HARGA SATUAN'!$C$7:$C$1492,0),0)),"",OFFSET('HARGA SATUAN'!$D$6,MATCH(RAB!C25,'HARGA SATUAN'!$C$7:$C$1492,0),0))</f>
        <v>JASA</v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0">
        <v>60</v>
      </c>
      <c r="G25" s="360">
        <f ca="1">IF(ISERROR(OFFSET('HARGA SATUAN'!$I$6,MATCH(RAB!C25,'HARGA SATUAN'!$C$7:$C$1492,0),0)),0,OFFSET('HARGA SATUAN'!$I$6,MATCH(RAB!C25,'HARGA SATUAN'!$C$7:$C$1492,0),0))</f>
        <v>63840</v>
      </c>
      <c r="H25" s="361">
        <f t="shared" ca="1" si="16"/>
        <v>0</v>
      </c>
      <c r="I25" s="361">
        <f t="shared" ca="1" si="17"/>
        <v>0</v>
      </c>
      <c r="J25" s="361">
        <f t="shared" ca="1" si="18"/>
        <v>3830400</v>
      </c>
      <c r="K25" s="362">
        <f t="shared" ca="1" si="19"/>
        <v>3830400</v>
      </c>
    </row>
    <row r="26" spans="2:11">
      <c r="B26" s="504"/>
      <c r="C26" s="505"/>
      <c r="D26" s="358"/>
      <c r="E26" s="359"/>
      <c r="F26" s="500"/>
      <c r="G26" s="360"/>
      <c r="H26" s="361"/>
      <c r="I26" s="361"/>
      <c r="J26" s="361"/>
      <c r="K26" s="362"/>
    </row>
    <row r="27" spans="2:11">
      <c r="B27" s="367"/>
      <c r="C27" s="109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500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ref="H27" ca="1" si="20">IF(OR(D27="MDU",D27="MDU-KD"),(IF($O$3="RAB NON MDU","PLN KD",G27*F27)),0)</f>
        <v>0</v>
      </c>
      <c r="I27" s="361">
        <f t="shared" ref="I27" ca="1" si="21">IF(D27="HDW",G27*F27,0)</f>
        <v>0</v>
      </c>
      <c r="J27" s="361">
        <f t="shared" ref="J27" ca="1" si="22">IF(D27="JASA",G27*F27,0)</f>
        <v>0</v>
      </c>
      <c r="K27" s="362">
        <f t="shared" ref="K27" ca="1" si="23">SUM(H27:J27)</f>
        <v>0</v>
      </c>
    </row>
    <row r="28" spans="2:11">
      <c r="B28" s="368"/>
      <c r="C28" s="369" t="s">
        <v>475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472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ref="H28" ca="1" si="24">IF(OR(D28="MDU",D28="MDU-KD"),(IF($O$3="RAB NON MDU","PLN KD",G28*F28)),0)</f>
        <v>0</v>
      </c>
      <c r="I28" s="361">
        <f t="shared" ref="I28" ca="1" si="25">IF(D28="HDW",G28*F28,0)</f>
        <v>0</v>
      </c>
      <c r="J28" s="361">
        <f t="shared" ref="J28" ca="1" si="26">IF(D28="JASA",G28*F28,0)</f>
        <v>0</v>
      </c>
      <c r="K28" s="362">
        <f t="shared" ref="K28" ca="1" si="27">SUM(H28:J28)</f>
        <v>0</v>
      </c>
    </row>
    <row r="29" spans="2:11">
      <c r="B29" s="371">
        <v>1</v>
      </c>
      <c r="C29" s="372" t="s">
        <v>1091</v>
      </c>
      <c r="D29" s="373" t="str">
        <f ca="1">IF(ISERROR(OFFSET('HARGA SATUAN'!$D$6,MATCH(RAB!C29,'HARGA SATUAN'!$C$7:$C$1492,0),0)),"",OFFSET('HARGA SATUAN'!$D$6,MATCH(RAB!C29,'HARGA SATUAN'!$C$7:$C$1492,0),0))</f>
        <v>JASA</v>
      </c>
      <c r="E29" s="374" t="str">
        <f ca="1">IF(ISERROR(OFFSET('HARGA SATUAN'!$E$6,MATCH(RAB!C29,'HARGA SATUAN'!$C$7:$C$1492,0),0)),"",OFFSET('HARGA SATUAN'!$E$6,MATCH(RAB!C29,'HARGA SATUAN'!$C$7:$C$1492,0),0))</f>
        <v>Lot</v>
      </c>
      <c r="F29" s="375">
        <v>1</v>
      </c>
      <c r="G29" s="376">
        <f ca="1">IF(ISERROR(OFFSET('HARGA SATUAN'!$I$6,MATCH(RAB!C29,'HARGA SATUAN'!$C$7:$C$1492,0),0)),0,OFFSET('HARGA SATUAN'!$I$6,MATCH(RAB!C29,'HARGA SATUAN'!$C$7:$C$1492,0),0))</f>
        <v>2.5000000000000001E-2</v>
      </c>
      <c r="H29" s="377"/>
      <c r="I29" s="377"/>
      <c r="J29" s="377">
        <f ca="1">2.5%*(SUM(K14:K28))</f>
        <v>275245</v>
      </c>
      <c r="K29" s="378">
        <f ca="1">SUM(H29:J29)</f>
        <v>275245</v>
      </c>
    </row>
    <row r="30" spans="2:11">
      <c r="B30" s="379"/>
      <c r="C30" s="380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IF(ISERROR(OFFSET('HARGA SATUAN'!$E$6,MATCH(RAB!C30,'HARGA SATUAN'!$C$7:$C$1492,0),0)),"",OFFSET('HARGA SATUAN'!$E$6,MATCH(RAB!C30,'HARGA SATUAN'!$C$7:$C$1492,0),0))</f>
        <v/>
      </c>
      <c r="F30" s="370"/>
      <c r="G30" s="360" t="str">
        <f ca="1">IF(ISERROR(OFFSET('HARGA SATUAN'!$I$6,MATCH(RAB!C30,'HARGA SATUAN'!$C$7:$C$1492,0),0)),"",OFFSET('HARGA SATUAN'!$I$6,MATCH(RAB!C30,'HARGA SATUAN'!$C$7:$C$1492,0),0))</f>
        <v/>
      </c>
      <c r="H30" s="361">
        <f ca="1">IF(OR(D30="MDU",D30="MDU-KD"),IF(G30="PLN",0,G30*F30),0)</f>
        <v>0</v>
      </c>
      <c r="I30" s="361">
        <f ca="1">IF(D30="HDW",IF(G30="PLN",0,G30*F30),0)</f>
        <v>0</v>
      </c>
      <c r="J30" s="361">
        <f ca="1">IF(D30="JASA",IF(G30="PLN",0,G30*F30),0)</f>
        <v>0</v>
      </c>
      <c r="K30" s="362">
        <f ca="1">SUM(H30:J30)</f>
        <v>0</v>
      </c>
    </row>
    <row r="31" spans="2:11" ht="15.75" thickBot="1">
      <c r="B31" s="381"/>
      <c r="C31" s="382"/>
      <c r="D31" s="383"/>
      <c r="E31" s="384"/>
      <c r="F31" s="384"/>
      <c r="G31" s="384"/>
      <c r="H31" s="385"/>
      <c r="I31" s="385"/>
      <c r="J31" s="385"/>
      <c r="K31" s="386"/>
    </row>
    <row r="32" spans="2:11">
      <c r="B32" s="387"/>
      <c r="C32" s="628" t="s">
        <v>1008</v>
      </c>
      <c r="D32" s="628"/>
      <c r="E32" s="628"/>
      <c r="F32" s="628"/>
      <c r="G32" s="388" t="s">
        <v>9</v>
      </c>
      <c r="H32" s="389">
        <f ca="1">SUM(H14:H30)</f>
        <v>4239900</v>
      </c>
      <c r="I32" s="389">
        <f ca="1">SUM(I14:I30)</f>
        <v>2833100</v>
      </c>
      <c r="J32" s="389">
        <f ca="1">SUM(J14:J30)</f>
        <v>4212045</v>
      </c>
      <c r="K32" s="389">
        <f ca="1">SUM(K14:K30)</f>
        <v>11285045</v>
      </c>
    </row>
    <row r="33" spans="2:13">
      <c r="B33" s="390"/>
      <c r="C33" s="611" t="s">
        <v>1457</v>
      </c>
      <c r="D33" s="611"/>
      <c r="E33" s="611"/>
      <c r="F33" s="611"/>
      <c r="G33" s="391" t="s">
        <v>9</v>
      </c>
      <c r="H33" s="392">
        <f ca="1">H32*0.11</f>
        <v>466389</v>
      </c>
      <c r="I33" s="392">
        <f ca="1">I32*0.11</f>
        <v>311641</v>
      </c>
      <c r="J33" s="392">
        <f ca="1">J32*0.11</f>
        <v>463324.95</v>
      </c>
      <c r="K33" s="392">
        <f ca="1">K32*0.11</f>
        <v>1241354.95</v>
      </c>
    </row>
    <row r="34" spans="2:13" ht="15.75" thickBot="1">
      <c r="B34" s="390"/>
      <c r="C34" s="608" t="s">
        <v>463</v>
      </c>
      <c r="D34" s="608"/>
      <c r="E34" s="608"/>
      <c r="F34" s="608"/>
      <c r="G34" s="393" t="s">
        <v>9</v>
      </c>
      <c r="H34" s="394">
        <f ca="1">SUM(H32:H33)</f>
        <v>4706289</v>
      </c>
      <c r="I34" s="394">
        <f ca="1">SUM(I32:I33)</f>
        <v>3144741</v>
      </c>
      <c r="J34" s="393">
        <f ca="1">SUM(J32:J33)</f>
        <v>4675369.95</v>
      </c>
      <c r="K34" s="393">
        <f ca="1">SUM(K32:K33)</f>
        <v>12526399.949999999</v>
      </c>
      <c r="M34" s="477"/>
    </row>
    <row r="35" spans="2:13">
      <c r="B35" s="612" t="str">
        <f ca="1">"Terbilang : "&amp;PROPER(IF(K34=0,"nol",IF(K34&lt;0,"minus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IF(--MID(TEXT(ABS(K34),"000000000000000"),1,3)=0,"",MID(TEXT(ABS(K34),"000000000000000"),1,1)&amp;" ratus "&amp;MID(TEXT(ABS(K34),"000000000000000"),2,1)&amp;" puluh "&amp;MID(TEXT(ABS(K34),"000000000000000"),3,1)&amp;" trilyun ")&amp; IF(--MID(TEXT(ABS(K34),"000000000000000"),4,3)=0,"",MID(TEXT(ABS(K34),"000000000000000"),4,1)&amp;" ratus "&amp;MID(TEXT(ABS(K34),"000000000000000"),5,1)&amp;" puluh "&amp;MID(TEXT(ABS(K34),"000000000000000"),6,1)&amp;" milyar ")&amp; IF(--MID(TEXT(ABS(K34),"000000000000000"),7,3)=0,"",MID(TEXT(ABS(K34),"000000000000000"),7,1)&amp;" ratus "&amp;MID(TEXT(ABS(K34),"000000000000000"),8,1)&amp;" puluh "&amp;MID(TEXT(ABS(K34),"000000000000000"),9,1)&amp;" juta ")&amp; IF(--MID(TEXT(ABS(K34),"000000000000000"),10,3)=0,"",IF(--MID(TEXT(ABS(K34),"000000000000000"),10,3)=1,"*",MID(TEXT(ABS(K34),"000000000000000"),10,1)&amp;" ratus "&amp;MID(TEXT(ABS(K34),"000000000000000"),11,1)&amp;" puluh ")&amp;MID(TEXT(ABS(K34),"000000000000000"),12,1)&amp;" ribu ")&amp; IF(--MID(TEXT(ABS(K34),"000000000000000"),13,3)=0,"",MID(TEXT(ABS(K34),"000000000000000"),13,1)&amp;" ratus "&amp;MID(TEXT(ABS(K34),"000000000000000"),14,1)&amp;" puluh "&amp;MID(TEXT(ABS(K34),"000000000000000"),15,1)),1,"satu"),2,"dua"),3,"tiga"),4,"empat"),5,"lima"),6,"enam"),7,"tujuh"),8,"delapan"),9,"sembilan"),"0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Belas Juta Lima Ratus Dua Puluh Enam Ribu Empat Ratus Rupiah</v>
      </c>
      <c r="C35" s="613"/>
      <c r="D35" s="613"/>
      <c r="E35" s="613"/>
      <c r="F35" s="613"/>
      <c r="G35" s="613"/>
      <c r="H35" s="613"/>
      <c r="I35" s="613"/>
      <c r="J35" s="613"/>
      <c r="K35" s="614"/>
      <c r="M35" s="503"/>
    </row>
    <row r="36" spans="2:13">
      <c r="B36" s="615"/>
      <c r="C36" s="616"/>
      <c r="D36" s="616"/>
      <c r="E36" s="616"/>
      <c r="F36" s="616"/>
      <c r="G36" s="616"/>
      <c r="H36" s="616"/>
      <c r="I36" s="616"/>
      <c r="J36" s="616"/>
      <c r="K36" s="617"/>
    </row>
    <row r="37" spans="2:13" ht="15.75" thickBot="1">
      <c r="B37" s="395" t="str">
        <f>"Harga yang dipakai adalah "&amp;'HARGA SATUAN'!I5&amp;""</f>
        <v>Harga yang dipakai adalah RAB HSS 2023</v>
      </c>
      <c r="C37" s="396"/>
      <c r="D37" s="397"/>
      <c r="E37" s="397"/>
      <c r="F37" s="397"/>
      <c r="G37" s="398"/>
      <c r="H37" s="398"/>
      <c r="I37" s="398"/>
      <c r="J37" s="398"/>
      <c r="K37" s="399"/>
    </row>
    <row r="38" spans="2:13">
      <c r="C38" s="400"/>
      <c r="E38" s="402"/>
      <c r="F38" s="402"/>
      <c r="G38" s="402"/>
    </row>
    <row r="39" spans="2:13">
      <c r="C39" s="337"/>
      <c r="E39" s="402"/>
      <c r="F39" s="402"/>
      <c r="G39" s="402"/>
      <c r="H39" s="618"/>
      <c r="I39" s="618"/>
      <c r="J39" s="619"/>
      <c r="K39" s="619"/>
    </row>
    <row r="40" spans="2:13">
      <c r="C40" s="337"/>
      <c r="E40" s="402"/>
      <c r="F40" s="402"/>
      <c r="G40" s="402"/>
      <c r="H40" s="403"/>
      <c r="I40" s="607" t="s">
        <v>1615</v>
      </c>
      <c r="J40" s="607"/>
      <c r="K40" s="607"/>
    </row>
    <row r="41" spans="2:13">
      <c r="C41" s="337"/>
      <c r="E41" s="402"/>
      <c r="F41" s="402"/>
      <c r="G41" s="402"/>
      <c r="H41" s="403"/>
      <c r="I41" s="607" t="s">
        <v>1609</v>
      </c>
      <c r="J41" s="607"/>
      <c r="K41" s="607"/>
    </row>
    <row r="42" spans="2:13">
      <c r="C42" s="337"/>
      <c r="E42" s="402"/>
      <c r="F42" s="402"/>
      <c r="G42" s="402"/>
      <c r="H42" s="404"/>
      <c r="I42" s="405"/>
      <c r="J42" s="405"/>
      <c r="K42" s="405"/>
    </row>
    <row r="43" spans="2:13">
      <c r="C43" s="337"/>
      <c r="E43" s="402"/>
      <c r="F43" s="402"/>
      <c r="G43" s="402"/>
      <c r="H43" s="404"/>
      <c r="I43" s="404"/>
      <c r="J43" s="404"/>
      <c r="K43" s="404"/>
    </row>
    <row r="44" spans="2:13">
      <c r="C44" s="337"/>
      <c r="E44" s="402"/>
      <c r="F44" s="402"/>
      <c r="G44" s="402"/>
      <c r="H44" s="404"/>
      <c r="I44" s="404"/>
      <c r="J44" s="404"/>
      <c r="K44" s="404"/>
    </row>
    <row r="45" spans="2:13">
      <c r="C45" s="337"/>
      <c r="E45" s="402"/>
      <c r="F45" s="402"/>
      <c r="G45" s="402"/>
      <c r="H45" s="404"/>
      <c r="I45" s="404"/>
      <c r="J45" s="404"/>
      <c r="K45" s="404"/>
    </row>
    <row r="46" spans="2:13">
      <c r="C46" s="337"/>
      <c r="E46" s="402"/>
      <c r="F46" s="402"/>
      <c r="G46" s="402"/>
      <c r="H46" s="406"/>
      <c r="I46" s="607" t="s">
        <v>1611</v>
      </c>
      <c r="J46" s="607"/>
      <c r="K46" s="607"/>
    </row>
    <row r="47" spans="2:13">
      <c r="C47" s="400"/>
      <c r="E47" s="402"/>
      <c r="F47" s="402"/>
      <c r="G47" s="402"/>
      <c r="H47" s="404"/>
      <c r="I47" s="404"/>
      <c r="J47" s="404"/>
      <c r="K47" s="404"/>
    </row>
    <row r="48" spans="2:13">
      <c r="C48" s="400"/>
      <c r="E48" s="402"/>
      <c r="F48" s="402"/>
      <c r="G48" s="402"/>
      <c r="H48" s="404"/>
      <c r="I48" s="404"/>
      <c r="J48" s="404"/>
      <c r="K48" s="404"/>
    </row>
    <row r="49" spans="3:11">
      <c r="C49" s="400"/>
      <c r="E49" s="402"/>
      <c r="F49" s="402"/>
      <c r="G49" s="402"/>
      <c r="H49" s="404"/>
      <c r="I49" s="404"/>
      <c r="J49" s="404"/>
      <c r="K49" s="404"/>
    </row>
  </sheetData>
  <sheetProtection sort="0" autoFilter="0"/>
  <protectedRanges>
    <protectedRange sqref="B27" name="Range1_1"/>
    <protectedRange sqref="F14" name="Range1_1_2_2"/>
    <protectedRange sqref="C27" name="Range1_1_3_12"/>
    <protectedRange sqref="B17:B22" name="Range1_1_4"/>
    <protectedRange sqref="B15:C16 B24:C24" name="Range1_6_2"/>
    <protectedRange sqref="C17 C22 C19:C20 C25" name="Range1_3"/>
    <protectedRange sqref="F26:F27 F16:F25" name="Range1_1_3_1_1"/>
    <protectedRange sqref="F15" name="Range1_1_2_2_3_2"/>
    <protectedRange sqref="B25:B26" name="Range1_6_2_2"/>
    <protectedRange sqref="C26" name="Range1_6_2_2_2_1"/>
    <protectedRange sqref="C21" name="Range1_1_3_4"/>
    <protectedRange sqref="C18" name="Range1_1_3_1"/>
  </protectedRanges>
  <mergeCells count="22">
    <mergeCell ref="O3:P4"/>
    <mergeCell ref="B4:K4"/>
    <mergeCell ref="C32:F32"/>
    <mergeCell ref="B11:B13"/>
    <mergeCell ref="C11:C13"/>
    <mergeCell ref="D11:D13"/>
    <mergeCell ref="E11:E13"/>
    <mergeCell ref="F11:F13"/>
    <mergeCell ref="G11:G13"/>
    <mergeCell ref="I12:I13"/>
    <mergeCell ref="I41:K41"/>
    <mergeCell ref="I46:K46"/>
    <mergeCell ref="C34:F34"/>
    <mergeCell ref="G6:K6"/>
    <mergeCell ref="I40:K40"/>
    <mergeCell ref="C33:F33"/>
    <mergeCell ref="B35:K36"/>
    <mergeCell ref="H39:K39"/>
    <mergeCell ref="H11:K11"/>
    <mergeCell ref="H12:H13"/>
    <mergeCell ref="J12:J13"/>
    <mergeCell ref="K12:K13"/>
  </mergeCells>
  <phoneticPr fontId="137" type="noConversion"/>
  <conditionalFormatting sqref="E28:K28 F24:F25 G15:K27 E15:E27">
    <cfRule type="cellIs" dxfId="9" priority="104" stopIfTrue="1" operator="equal">
      <formula>0</formula>
    </cfRule>
  </conditionalFormatting>
  <conditionalFormatting sqref="C27">
    <cfRule type="cellIs" dxfId="8" priority="123" operator="equal">
      <formula>0</formula>
    </cfRule>
  </conditionalFormatting>
  <conditionalFormatting sqref="E1:E3 G1:G13 E5:E13 H12:I12 O13 S14:V14 E29:G29 H29:K31 E30:H30 E31:F31">
    <cfRule type="cellIs" dxfId="7" priority="1105" stopIfTrue="1" operator="equal">
      <formula>0</formula>
    </cfRule>
  </conditionalFormatting>
  <conditionalFormatting sqref="E14:K14">
    <cfRule type="cellIs" dxfId="6" priority="73" stopIfTrue="1" operator="equal">
      <formula>0</formula>
    </cfRule>
  </conditionalFormatting>
  <conditionalFormatting sqref="G30:G65496 E35:E65496">
    <cfRule type="cellIs" dxfId="5" priority="239" stopIfTrue="1" operator="equal">
      <formula>0</formula>
    </cfRule>
  </conditionalFormatting>
  <conditionalFormatting sqref="F16">
    <cfRule type="cellIs" dxfId="4" priority="60" stopIfTrue="1" operator="equal">
      <formula>0</formula>
    </cfRule>
  </conditionalFormatting>
  <conditionalFormatting sqref="F17:F23">
    <cfRule type="cellIs" dxfId="3" priority="59" stopIfTrue="1" operator="equal">
      <formula>0</formula>
    </cfRule>
  </conditionalFormatting>
  <conditionalFormatting sqref="F15">
    <cfRule type="cellIs" dxfId="2" priority="57" stopIfTrue="1" operator="equal">
      <formula>0</formula>
    </cfRule>
  </conditionalFormatting>
  <conditionalFormatting sqref="F26:F27">
    <cfRule type="cellIs" dxfId="1" priority="36" stopIfTrue="1" operator="equal">
      <formula>0</formula>
    </cfRule>
  </conditionalFormatting>
  <conditionalFormatting sqref="C18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5:F16 H14:K31 F24:F28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tabSelected="1" view="pageBreakPreview" zoomScale="85" zoomScaleNormal="115" zoomScaleSheetLayoutView="85" workbookViewId="0">
      <selection activeCell="O24" sqref="O24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0" t="s">
        <v>1439</v>
      </c>
      <c r="X2" s="691"/>
      <c r="Y2" s="691"/>
      <c r="Z2" s="691"/>
      <c r="AA2" s="691"/>
      <c r="AB2" s="691"/>
      <c r="AC2" s="691"/>
      <c r="AD2" s="692"/>
    </row>
    <row r="3" spans="3:30">
      <c r="C3" s="238"/>
      <c r="W3" s="693"/>
      <c r="X3" s="694"/>
      <c r="Y3" s="694"/>
      <c r="Z3" s="694"/>
      <c r="AA3" s="694"/>
      <c r="AB3" s="694"/>
      <c r="AC3" s="694"/>
      <c r="AD3" s="695"/>
    </row>
    <row r="4" spans="3:30">
      <c r="C4" s="238"/>
      <c r="Q4" s="483" t="s">
        <v>1613</v>
      </c>
      <c r="W4" s="239" t="s">
        <v>987</v>
      </c>
      <c r="AD4" s="240"/>
    </row>
    <row r="5" spans="3:30">
      <c r="C5" s="238"/>
      <c r="W5" s="241" t="s">
        <v>991</v>
      </c>
      <c r="X5" s="640" t="s">
        <v>990</v>
      </c>
      <c r="Y5" s="640"/>
      <c r="Z5" s="640"/>
      <c r="AA5" s="640" t="s">
        <v>988</v>
      </c>
      <c r="AB5" s="640"/>
      <c r="AC5" s="640" t="s">
        <v>989</v>
      </c>
      <c r="AD5" s="641"/>
    </row>
    <row r="6" spans="3:30" ht="21">
      <c r="C6" s="238"/>
      <c r="Q6" s="506"/>
      <c r="W6" s="241">
        <v>1</v>
      </c>
      <c r="X6" s="640" t="s">
        <v>993</v>
      </c>
      <c r="Y6" s="640"/>
      <c r="Z6" s="640"/>
      <c r="AA6" s="640"/>
      <c r="AB6" s="640"/>
      <c r="AC6" s="640"/>
      <c r="AD6" s="641"/>
    </row>
    <row r="7" spans="3:30">
      <c r="C7" s="238"/>
      <c r="W7" s="241">
        <v>2</v>
      </c>
      <c r="X7" s="640" t="s">
        <v>994</v>
      </c>
      <c r="Y7" s="640"/>
      <c r="Z7" s="640"/>
      <c r="AA7" s="640"/>
      <c r="AB7" s="640"/>
      <c r="AC7" s="640"/>
      <c r="AD7" s="641"/>
    </row>
    <row r="8" spans="3:30">
      <c r="C8" s="238"/>
      <c r="W8" s="241">
        <v>3</v>
      </c>
      <c r="X8" s="640" t="s">
        <v>995</v>
      </c>
      <c r="Y8" s="640"/>
      <c r="Z8" s="640"/>
      <c r="AA8" s="640"/>
      <c r="AB8" s="640"/>
      <c r="AC8" s="640"/>
      <c r="AD8" s="641"/>
    </row>
    <row r="9" spans="3:30">
      <c r="C9" s="238"/>
      <c r="W9" s="241">
        <v>4</v>
      </c>
      <c r="X9" s="640" t="s">
        <v>996</v>
      </c>
      <c r="Y9" s="640"/>
      <c r="Z9" s="640"/>
      <c r="AA9" s="640"/>
      <c r="AB9" s="640"/>
      <c r="AC9" s="640"/>
      <c r="AD9" s="641"/>
    </row>
    <row r="10" spans="3:30">
      <c r="C10" s="238"/>
      <c r="W10" s="241">
        <v>5</v>
      </c>
      <c r="X10" s="640" t="s">
        <v>997</v>
      </c>
      <c r="Y10" s="640"/>
      <c r="Z10" s="640"/>
      <c r="AA10" s="640"/>
      <c r="AB10" s="640"/>
      <c r="AC10" s="640"/>
      <c r="AD10" s="641"/>
    </row>
    <row r="11" spans="3:30">
      <c r="C11" s="238"/>
      <c r="W11" s="241">
        <v>6</v>
      </c>
      <c r="X11" s="640" t="s">
        <v>998</v>
      </c>
      <c r="Y11" s="640"/>
      <c r="Z11" s="640"/>
      <c r="AA11" s="640"/>
      <c r="AB11" s="640"/>
      <c r="AC11" s="640"/>
      <c r="AD11" s="641"/>
    </row>
    <row r="12" spans="3:30">
      <c r="C12" s="238"/>
      <c r="W12" s="241">
        <v>7</v>
      </c>
      <c r="X12" s="640" t="s">
        <v>999</v>
      </c>
      <c r="Y12" s="640"/>
      <c r="Z12" s="640"/>
      <c r="AA12" s="640"/>
      <c r="AB12" s="640"/>
      <c r="AC12" s="640"/>
      <c r="AD12" s="641"/>
    </row>
    <row r="13" spans="3:30" ht="12.75" customHeight="1">
      <c r="C13" s="238"/>
      <c r="W13" s="241">
        <v>8</v>
      </c>
      <c r="X13" s="640" t="s">
        <v>1000</v>
      </c>
      <c r="Y13" s="640"/>
      <c r="Z13" s="640"/>
      <c r="AA13" s="640"/>
      <c r="AB13" s="640"/>
      <c r="AC13" s="640"/>
      <c r="AD13" s="641"/>
    </row>
    <row r="14" spans="3:30">
      <c r="C14" s="238"/>
      <c r="W14" s="241">
        <v>9</v>
      </c>
      <c r="X14" s="640" t="s">
        <v>1001</v>
      </c>
      <c r="Y14" s="640"/>
      <c r="Z14" s="640"/>
      <c r="AA14" s="640"/>
      <c r="AB14" s="640"/>
      <c r="AC14" s="640"/>
      <c r="AD14" s="641"/>
    </row>
    <row r="15" spans="3:30">
      <c r="C15" s="238"/>
      <c r="W15" s="241">
        <v>10</v>
      </c>
      <c r="X15" s="640" t="s">
        <v>1010</v>
      </c>
      <c r="Y15" s="640"/>
      <c r="Z15" s="640"/>
      <c r="AA15" s="640"/>
      <c r="AB15" s="640"/>
      <c r="AC15" s="640"/>
      <c r="AD15" s="641"/>
    </row>
    <row r="16" spans="3:30">
      <c r="C16" s="238"/>
      <c r="W16" s="241">
        <v>11</v>
      </c>
      <c r="X16" s="640" t="s">
        <v>1455</v>
      </c>
      <c r="Y16" s="640"/>
      <c r="Z16" s="640"/>
      <c r="AA16" s="640"/>
      <c r="AB16" s="640"/>
      <c r="AC16" s="640"/>
      <c r="AD16" s="641"/>
    </row>
    <row r="17" spans="3:30">
      <c r="C17" s="238"/>
      <c r="S17" s="242"/>
      <c r="W17" s="241">
        <v>12</v>
      </c>
      <c r="X17" s="640" t="s">
        <v>1011</v>
      </c>
      <c r="Y17" s="640"/>
      <c r="Z17" s="640"/>
      <c r="AA17" s="640"/>
      <c r="AB17" s="640"/>
      <c r="AC17" s="640"/>
      <c r="AD17" s="641"/>
    </row>
    <row r="18" spans="3:30">
      <c r="C18" s="243"/>
      <c r="D18" s="244"/>
      <c r="E18" s="244"/>
      <c r="W18" s="241">
        <v>13</v>
      </c>
      <c r="X18" s="640"/>
      <c r="Y18" s="640"/>
      <c r="Z18" s="640"/>
      <c r="AA18" s="640"/>
      <c r="AB18" s="640"/>
      <c r="AC18" s="640"/>
      <c r="AD18" s="641"/>
    </row>
    <row r="19" spans="3:30">
      <c r="C19" s="238"/>
      <c r="W19" s="245"/>
      <c r="X19" s="688"/>
      <c r="Y19" s="688"/>
      <c r="Z19" s="688"/>
      <c r="AA19" s="688"/>
      <c r="AB19" s="688"/>
      <c r="AC19" s="688"/>
      <c r="AD19" s="689"/>
    </row>
    <row r="20" spans="3:30">
      <c r="C20" s="238"/>
      <c r="W20" s="675" t="s">
        <v>992</v>
      </c>
      <c r="X20" s="676"/>
      <c r="Y20" s="676"/>
      <c r="Z20" s="676"/>
      <c r="AA20" s="676"/>
      <c r="AB20" s="676"/>
      <c r="AC20" s="676"/>
      <c r="AD20" s="677"/>
    </row>
    <row r="21" spans="3:30">
      <c r="C21" s="238"/>
      <c r="W21" s="678" t="s">
        <v>985</v>
      </c>
      <c r="X21" s="679"/>
      <c r="Y21" s="679"/>
      <c r="Z21" s="680"/>
      <c r="AA21" s="681" t="s">
        <v>986</v>
      </c>
      <c r="AB21" s="682"/>
      <c r="AC21" s="682"/>
      <c r="AD21" s="683"/>
    </row>
    <row r="22" spans="3:30">
      <c r="C22" s="238"/>
      <c r="W22" s="684"/>
      <c r="X22" s="685"/>
      <c r="Y22" s="485"/>
      <c r="Z22" s="488"/>
      <c r="AA22" s="686"/>
      <c r="AB22" s="687"/>
      <c r="AC22" s="248"/>
      <c r="AD22" s="249"/>
    </row>
    <row r="23" spans="3:30">
      <c r="C23" s="238"/>
      <c r="W23" s="684"/>
      <c r="X23" s="685"/>
      <c r="Y23" s="485"/>
      <c r="Z23" s="488"/>
      <c r="AA23" s="673"/>
      <c r="AB23" s="674"/>
      <c r="AC23" s="248"/>
      <c r="AD23" s="249"/>
    </row>
    <row r="24" spans="3:30">
      <c r="C24" s="238"/>
      <c r="W24" s="668"/>
      <c r="X24" s="670"/>
      <c r="Y24" s="246"/>
      <c r="Z24" s="247"/>
      <c r="AA24" s="671"/>
      <c r="AB24" s="672"/>
      <c r="AC24" s="248"/>
      <c r="AD24" s="249"/>
    </row>
    <row r="25" spans="3:30">
      <c r="C25" s="238"/>
      <c r="W25" s="668"/>
      <c r="X25" s="670"/>
      <c r="Y25" s="246"/>
      <c r="Z25" s="247"/>
      <c r="AA25" s="673"/>
      <c r="AB25" s="674"/>
      <c r="AC25" s="248"/>
      <c r="AD25" s="249"/>
    </row>
    <row r="26" spans="3:30">
      <c r="C26" s="238"/>
      <c r="W26" s="473"/>
      <c r="X26" s="474"/>
      <c r="Y26" s="246"/>
      <c r="Z26" s="247"/>
      <c r="AA26" s="673"/>
      <c r="AB26" s="674"/>
      <c r="AC26" s="248"/>
      <c r="AD26" s="249"/>
    </row>
    <row r="27" spans="3:30">
      <c r="C27" s="238"/>
      <c r="W27" s="473"/>
      <c r="X27" s="474"/>
      <c r="Y27" s="246"/>
      <c r="Z27" s="247"/>
      <c r="AA27" s="667"/>
      <c r="AB27" s="662"/>
      <c r="AC27" s="248"/>
      <c r="AD27" s="249"/>
    </row>
    <row r="28" spans="3:30">
      <c r="C28" s="238"/>
      <c r="W28" s="473"/>
      <c r="X28" s="474"/>
      <c r="Y28" s="246"/>
      <c r="Z28" s="247"/>
      <c r="AA28" s="667"/>
      <c r="AB28" s="662"/>
      <c r="AC28" s="248"/>
      <c r="AD28" s="249"/>
    </row>
    <row r="29" spans="3:30">
      <c r="C29" s="238"/>
      <c r="W29" s="473"/>
      <c r="X29" s="474"/>
      <c r="Y29" s="246"/>
      <c r="Z29" s="247"/>
      <c r="AA29" s="667"/>
      <c r="AB29" s="662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7"/>
      <c r="AB30" s="662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7"/>
      <c r="AB31" s="662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7"/>
      <c r="AB32" s="662"/>
      <c r="AC32" s="248"/>
      <c r="AD32" s="249"/>
    </row>
    <row r="33" spans="3:30">
      <c r="C33" s="238"/>
      <c r="W33" s="473"/>
      <c r="X33" s="474"/>
      <c r="Y33" s="246"/>
      <c r="Z33" s="247"/>
      <c r="AA33" s="667"/>
      <c r="AB33" s="662"/>
      <c r="AC33" s="248"/>
      <c r="AD33" s="249"/>
    </row>
    <row r="34" spans="3:30">
      <c r="C34" s="238"/>
      <c r="W34" s="473"/>
      <c r="X34" s="474"/>
      <c r="Y34" s="246"/>
      <c r="Z34" s="247"/>
      <c r="AA34" s="667"/>
      <c r="AB34" s="662"/>
      <c r="AC34" s="248"/>
      <c r="AD34" s="249"/>
    </row>
    <row r="35" spans="3:30">
      <c r="C35" s="238"/>
      <c r="W35" s="668"/>
      <c r="X35" s="669"/>
      <c r="Y35" s="246"/>
      <c r="Z35" s="247"/>
      <c r="AA35" s="667"/>
      <c r="AB35" s="662"/>
      <c r="AC35" s="248"/>
      <c r="AD35" s="249"/>
    </row>
    <row r="36" spans="3:30">
      <c r="C36" s="238"/>
      <c r="W36" s="659"/>
      <c r="X36" s="660"/>
      <c r="Y36" s="246"/>
      <c r="Z36" s="251"/>
      <c r="AA36" s="661"/>
      <c r="AB36" s="662"/>
      <c r="AC36" s="248"/>
      <c r="AD36" s="249"/>
    </row>
    <row r="37" spans="3:30" ht="12.75" customHeight="1">
      <c r="C37" s="238"/>
      <c r="W37" s="663"/>
      <c r="X37" s="664"/>
      <c r="Y37" s="246"/>
      <c r="Z37" s="251"/>
      <c r="AA37" s="665"/>
      <c r="AB37" s="666"/>
      <c r="AC37" s="252"/>
      <c r="AD37" s="253"/>
    </row>
    <row r="38" spans="3:30" ht="12.75" customHeight="1">
      <c r="C38" s="238"/>
      <c r="W38" s="663"/>
      <c r="X38" s="664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3"/>
      <c r="X39" s="664"/>
      <c r="Y39" s="254"/>
      <c r="Z39" s="257"/>
      <c r="AA39" s="655"/>
      <c r="AB39" s="656"/>
      <c r="AC39" s="252"/>
      <c r="AD39" s="253"/>
    </row>
    <row r="40" spans="3:30" ht="12" customHeight="1">
      <c r="C40" s="238"/>
      <c r="W40" s="651"/>
      <c r="X40" s="652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53"/>
      <c r="X41" s="654"/>
      <c r="Y41" s="260"/>
      <c r="Z41" s="261"/>
      <c r="AA41" s="655"/>
      <c r="AB41" s="656"/>
      <c r="AC41" s="252"/>
      <c r="AD41" s="253"/>
    </row>
    <row r="42" spans="3:30" ht="12" customHeight="1">
      <c r="C42" s="238"/>
      <c r="W42" s="657" t="s">
        <v>1456</v>
      </c>
      <c r="X42" s="658"/>
      <c r="Y42" s="658"/>
      <c r="Z42" s="658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37" t="s">
        <v>11</v>
      </c>
      <c r="X44" s="638"/>
      <c r="Y44" s="640"/>
      <c r="Z44" s="640"/>
      <c r="AA44" s="640"/>
      <c r="AB44" s="640"/>
      <c r="AC44" s="640"/>
      <c r="AD44" s="641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37" t="s">
        <v>984</v>
      </c>
      <c r="X45" s="638"/>
      <c r="Y45" s="640">
        <v>1</v>
      </c>
      <c r="Z45" s="640"/>
      <c r="AA45" s="640"/>
      <c r="AB45" s="640" t="s">
        <v>12</v>
      </c>
      <c r="AC45" s="64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37" t="s">
        <v>15</v>
      </c>
      <c r="X46" s="638"/>
      <c r="Y46" s="650"/>
      <c r="Z46" s="650"/>
      <c r="AA46" s="650"/>
      <c r="AB46" s="640" t="s">
        <v>16</v>
      </c>
      <c r="AC46" s="64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5" t="s">
        <v>17</v>
      </c>
      <c r="X47" s="645"/>
      <c r="Y47" s="645"/>
      <c r="Z47" s="645"/>
      <c r="AA47" s="645"/>
      <c r="AB47" s="645"/>
      <c r="AC47" s="645"/>
      <c r="AD47" s="646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47" t="str">
        <f>RAB!G6</f>
        <v>BUMDES TANJUNG</v>
      </c>
      <c r="X48" s="648"/>
      <c r="Y48" s="648"/>
      <c r="Z48" s="648"/>
      <c r="AA48" s="648"/>
      <c r="AB48" s="648"/>
      <c r="AC48" s="648"/>
      <c r="AD48" s="649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47" t="str">
        <f>RAB!G7</f>
        <v>TANJUNGREJO  1 / 3</v>
      </c>
      <c r="X49" s="648"/>
      <c r="Y49" s="648"/>
      <c r="Z49" s="648"/>
      <c r="AA49" s="648"/>
      <c r="AB49" s="648"/>
      <c r="AC49" s="648"/>
      <c r="AD49" s="649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4"/>
      <c r="X50" s="490"/>
      <c r="Y50" s="490"/>
      <c r="Z50" s="490"/>
      <c r="AA50" s="490"/>
      <c r="AB50" s="490"/>
      <c r="AC50" s="490"/>
      <c r="AD50" s="49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5"/>
      <c r="X51" s="492"/>
      <c r="Y51" s="492"/>
      <c r="Z51" s="492"/>
      <c r="AA51" s="492"/>
      <c r="AB51" s="492"/>
      <c r="AC51" s="492"/>
      <c r="AD51" s="49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37" t="s">
        <v>18</v>
      </c>
      <c r="X52" s="638"/>
      <c r="Y52" s="640" t="s">
        <v>1607</v>
      </c>
      <c r="Z52" s="640"/>
      <c r="AA52" s="640"/>
      <c r="AB52" s="640"/>
      <c r="AC52" s="640"/>
      <c r="AD52" s="64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37" t="s">
        <v>19</v>
      </c>
      <c r="X53" s="638"/>
      <c r="Y53" s="640" t="s">
        <v>1608</v>
      </c>
      <c r="Z53" s="640"/>
      <c r="AA53" s="640"/>
      <c r="AB53" s="640"/>
      <c r="AC53" s="640"/>
      <c r="AD53" s="64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37" t="s">
        <v>20</v>
      </c>
      <c r="X54" s="638"/>
      <c r="Y54" s="639" t="s">
        <v>1547</v>
      </c>
      <c r="Z54" s="639"/>
      <c r="AA54" s="639"/>
      <c r="AB54" s="640"/>
      <c r="AC54" s="640"/>
      <c r="AD54" s="64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2" t="s">
        <v>21</v>
      </c>
      <c r="X55" s="643"/>
      <c r="Y55" s="639"/>
      <c r="Z55" s="639"/>
      <c r="AA55" s="639"/>
      <c r="AB55" s="639"/>
      <c r="AC55" s="639"/>
      <c r="AD55" s="644"/>
    </row>
  </sheetData>
  <mergeCells count="102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6" t="s">
        <v>1528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217"/>
      <c r="AE4" s="216"/>
      <c r="AF4" s="216"/>
    </row>
    <row r="5" spans="2:32" ht="13.5" customHeight="1">
      <c r="B5" s="215"/>
      <c r="C5" s="215"/>
      <c r="D5" s="699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0"/>
      <c r="AA5" s="700"/>
      <c r="AB5" s="700"/>
      <c r="AC5" s="701"/>
      <c r="AD5" s="217"/>
      <c r="AE5" s="216"/>
      <c r="AF5" s="216"/>
    </row>
    <row r="6" spans="2:32" ht="12.75" customHeight="1">
      <c r="B6" s="215"/>
      <c r="C6" s="215"/>
      <c r="D6" s="699"/>
      <c r="E6" s="700"/>
      <c r="F6" s="700"/>
      <c r="G6" s="700"/>
      <c r="H6" s="700"/>
      <c r="I6" s="700"/>
      <c r="J6" s="700"/>
      <c r="K6" s="700"/>
      <c r="L6" s="700"/>
      <c r="M6" s="700"/>
      <c r="N6" s="700"/>
      <c r="O6" s="700"/>
      <c r="P6" s="700"/>
      <c r="Q6" s="700"/>
      <c r="R6" s="700"/>
      <c r="S6" s="700"/>
      <c r="T6" s="700"/>
      <c r="U6" s="700"/>
      <c r="V6" s="700"/>
      <c r="W6" s="700"/>
      <c r="X6" s="700"/>
      <c r="Y6" s="700"/>
      <c r="Z6" s="700"/>
      <c r="AA6" s="700"/>
      <c r="AB6" s="700"/>
      <c r="AC6" s="701"/>
      <c r="AE6" s="216"/>
      <c r="AF6" s="216"/>
    </row>
    <row r="7" spans="2:32" ht="12.75" customHeight="1" thickBot="1">
      <c r="B7" s="215"/>
      <c r="C7" s="215"/>
      <c r="D7" s="702"/>
      <c r="E7" s="703"/>
      <c r="F7" s="703"/>
      <c r="G7" s="703"/>
      <c r="H7" s="703"/>
      <c r="I7" s="703"/>
      <c r="J7" s="703"/>
      <c r="K7" s="703"/>
      <c r="L7" s="703"/>
      <c r="M7" s="703"/>
      <c r="N7" s="703"/>
      <c r="O7" s="703"/>
      <c r="P7" s="703"/>
      <c r="Q7" s="703"/>
      <c r="R7" s="703"/>
      <c r="S7" s="703"/>
      <c r="T7" s="703"/>
      <c r="U7" s="703"/>
      <c r="V7" s="703"/>
      <c r="W7" s="703"/>
      <c r="X7" s="703"/>
      <c r="Y7" s="703"/>
      <c r="Z7" s="703"/>
      <c r="AA7" s="703"/>
      <c r="AB7" s="703"/>
      <c r="AC7" s="70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0" t="s">
        <v>1527</v>
      </c>
      <c r="D3" s="700"/>
      <c r="E3" s="700"/>
      <c r="F3" s="700"/>
      <c r="G3" s="700"/>
      <c r="H3" s="700"/>
      <c r="I3" s="700"/>
      <c r="J3" s="700"/>
      <c r="K3" s="700"/>
      <c r="L3" s="700"/>
      <c r="M3" s="700"/>
      <c r="N3" s="700"/>
      <c r="O3" s="700"/>
      <c r="P3" s="700"/>
      <c r="Q3" s="700"/>
      <c r="R3" s="700"/>
      <c r="S3" s="700"/>
      <c r="T3" s="700"/>
      <c r="U3" s="700"/>
      <c r="V3" s="700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0"/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05"/>
      <c r="D6" s="705"/>
      <c r="E6" s="705"/>
      <c r="F6" s="705"/>
      <c r="G6" s="705"/>
      <c r="H6" s="705"/>
      <c r="I6" s="705"/>
      <c r="J6" s="705"/>
      <c r="K6" s="705"/>
      <c r="L6" s="705"/>
      <c r="M6" s="705"/>
      <c r="W6" s="182"/>
      <c r="Y6" s="420"/>
      <c r="Z6" s="420"/>
      <c r="AA6" s="420"/>
      <c r="AB6" s="421"/>
      <c r="AC6" s="421"/>
    </row>
    <row r="7" spans="1:29" ht="18" customHeight="1">
      <c r="A7" s="181"/>
      <c r="C7" s="705"/>
      <c r="D7" s="705"/>
      <c r="E7" s="705"/>
      <c r="F7" s="705"/>
      <c r="G7" s="705"/>
      <c r="H7" s="705"/>
      <c r="I7" s="705"/>
      <c r="J7" s="705"/>
      <c r="K7" s="705"/>
      <c r="L7" s="705"/>
      <c r="M7" s="705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2023-08-11T05:50:27Z</cp:lastPrinted>
  <dcterms:created xsi:type="dcterms:W3CDTF">2011-02-06T11:57:38Z</dcterms:created>
  <dcterms:modified xsi:type="dcterms:W3CDTF">2024-02-07T05:38:05Z</dcterms:modified>
</cp:coreProperties>
</file>