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3\10. OKTOBER 2023\49. 52554 KKO KKF PD HERI WIROSARI 41.4 - 82.5 KVA\"/>
    </mc:Choice>
  </mc:AlternateContent>
  <bookViews>
    <workbookView xWindow="-120" yWindow="-120" windowWidth="20730" windowHeight="1116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8" i="11" l="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D45" i="11" l="1"/>
  <c r="I45" i="11" s="1"/>
  <c r="E45" i="11"/>
  <c r="G45" i="11"/>
  <c r="D46" i="11"/>
  <c r="I46" i="11" s="1"/>
  <c r="E46" i="11"/>
  <c r="G46" i="11"/>
  <c r="D47" i="11"/>
  <c r="I47" i="11" s="1"/>
  <c r="E47" i="11"/>
  <c r="G47" i="11"/>
  <c r="D48" i="11"/>
  <c r="I48" i="11" s="1"/>
  <c r="E48" i="11"/>
  <c r="G48" i="11"/>
  <c r="D49" i="11"/>
  <c r="I49" i="11" s="1"/>
  <c r="E49" i="11"/>
  <c r="G49" i="11"/>
  <c r="H49" i="11" l="1"/>
  <c r="H48" i="11"/>
  <c r="H47" i="11"/>
  <c r="H46" i="11"/>
  <c r="H45" i="11"/>
  <c r="J49" i="11"/>
  <c r="J48" i="11"/>
  <c r="J47" i="11"/>
  <c r="J46" i="11"/>
  <c r="J45" i="11"/>
  <c r="K45" i="11" l="1"/>
  <c r="K49" i="11"/>
  <c r="K48" i="11"/>
  <c r="K47" i="11"/>
  <c r="K46" i="11"/>
  <c r="F44" i="11" l="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6" i="11"/>
  <c r="D24" i="11" l="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I28" i="11" s="1"/>
  <c r="D29" i="11"/>
  <c r="J29" i="11" s="1"/>
  <c r="G29" i="11"/>
  <c r="D30" i="11"/>
  <c r="J30" i="11" s="1"/>
  <c r="D31" i="11"/>
  <c r="D32" i="11"/>
  <c r="H32" i="11" s="1"/>
  <c r="D33" i="11"/>
  <c r="J33" i="11" s="1"/>
  <c r="G33" i="11"/>
  <c r="D34" i="11"/>
  <c r="J34" i="11" s="1"/>
  <c r="D35" i="11"/>
  <c r="H35" i="11" s="1"/>
  <c r="D36" i="11"/>
  <c r="H36" i="11" s="1"/>
  <c r="D37" i="11"/>
  <c r="J37" i="11" s="1"/>
  <c r="D38" i="11"/>
  <c r="J38" i="11" s="1"/>
  <c r="D39" i="11"/>
  <c r="H39" i="11" s="1"/>
  <c r="D40" i="11"/>
  <c r="H40" i="11" s="1"/>
  <c r="D41" i="11"/>
  <c r="J41" i="11" s="1"/>
  <c r="D42" i="11"/>
  <c r="J42" i="11" s="1"/>
  <c r="D43" i="11"/>
  <c r="H43" i="11" s="1"/>
  <c r="D44" i="11"/>
  <c r="H44" i="11" s="1"/>
  <c r="E44" i="11"/>
  <c r="G44" i="11"/>
  <c r="I25" i="11" l="1"/>
  <c r="J27" i="11"/>
  <c r="J43" i="11"/>
  <c r="J35" i="11"/>
  <c r="H33" i="11"/>
  <c r="J32" i="11"/>
  <c r="H41" i="11"/>
  <c r="J40" i="11"/>
  <c r="J39" i="11"/>
  <c r="I27" i="11"/>
  <c r="H25" i="11"/>
  <c r="J24" i="11"/>
  <c r="I33" i="11"/>
  <c r="I29" i="11"/>
  <c r="J44" i="11"/>
  <c r="I31" i="11"/>
  <c r="J28" i="11"/>
  <c r="J31" i="11"/>
  <c r="H37" i="11"/>
  <c r="J36" i="11"/>
  <c r="I24" i="11"/>
  <c r="I44" i="11"/>
  <c r="I26" i="11"/>
  <c r="H42" i="11"/>
  <c r="H38" i="11"/>
  <c r="H34" i="11"/>
  <c r="H26" i="11"/>
  <c r="I30" i="11"/>
  <c r="K43" i="11" l="1"/>
  <c r="K29" i="11"/>
  <c r="K37" i="11"/>
  <c r="K36" i="11"/>
  <c r="K34" i="11"/>
  <c r="K40" i="11"/>
  <c r="K27" i="11"/>
  <c r="K35" i="11"/>
  <c r="K32" i="11"/>
  <c r="K25" i="11"/>
  <c r="K41" i="11"/>
  <c r="K33" i="11"/>
  <c r="K39" i="11"/>
  <c r="K28" i="11"/>
  <c r="K44" i="11"/>
  <c r="K24" i="11"/>
  <c r="K31" i="11"/>
  <c r="K30" i="11"/>
  <c r="K42" i="11"/>
  <c r="K26" i="11"/>
  <c r="K38" i="11"/>
  <c r="D23" i="11" l="1"/>
  <c r="J23" i="11" s="1"/>
  <c r="E23" i="11"/>
  <c r="G23" i="11"/>
  <c r="I23" i="11" l="1"/>
  <c r="H23" i="11"/>
  <c r="K23" i="11" l="1"/>
  <c r="D15" i="11" l="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I15" i="11" l="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G6" i="11" l="1"/>
  <c r="G50" i="11"/>
  <c r="D50" i="11"/>
  <c r="H50" i="11" s="1"/>
  <c r="E50" i="11"/>
  <c r="D51" i="11"/>
  <c r="I51" i="11" s="1"/>
  <c r="E51" i="11"/>
  <c r="G51" i="11"/>
  <c r="J50" i="11" l="1"/>
  <c r="I50" i="11"/>
  <c r="J51" i="11"/>
  <c r="H51" i="11"/>
  <c r="K50" i="11" l="1"/>
  <c r="K51" i="1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5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2" i="11"/>
  <c r="D53" i="11"/>
  <c r="H53" i="11" s="1"/>
  <c r="E5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0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3" i="11"/>
  <c r="I53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53" i="11"/>
  <c r="E236" i="29" l="1"/>
  <c r="J52" i="11"/>
  <c r="K52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F295" i="29" s="1"/>
  <c r="E259" i="29"/>
  <c r="F259" i="29"/>
  <c r="E238" i="29"/>
  <c r="F238" i="29"/>
  <c r="E295" i="29"/>
  <c r="E258" i="29"/>
  <c r="F258" i="29"/>
  <c r="E237" i="29"/>
  <c r="F237" i="29"/>
  <c r="F58" i="39"/>
  <c r="E58" i="39"/>
  <c r="F60" i="39" s="1"/>
  <c r="H55" i="11"/>
  <c r="H56" i="11" s="1"/>
  <c r="I55" i="11"/>
  <c r="I56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7" i="11"/>
  <c r="I57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5" i="11"/>
  <c r="K56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5" i="11"/>
  <c r="J5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7" i="11"/>
  <c r="B58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5" i="41" l="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<sst xmlns="http://schemas.openxmlformats.org/spreadsheetml/2006/main" count="4734" uniqueCount="1628">
  <si>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</si>
  <si>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</si>
  <si>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</si>
  <si>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</si>
  <si>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</si>
  <si>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</si>
  <si>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</si>
  <si>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</si>
  <si>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</si>
  <si>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</si>
  <si>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</si>
  <si>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</si>
  <si>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</si>
  <si>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</si>
  <si>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</si>
  <si>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</si>
  <si>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</si>
  <si>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</si>
  <si>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</si>
  <si>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</si>
  <si>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</si>
  <si>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</si>
  <si>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</si>
  <si>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</si>
  <si>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</si>
  <si>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</si>
  <si>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</si>
  <si>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</si>
  <si>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</si>
  <si>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</si>
  <si>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</si>
  <si>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</si>
  <si>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</si>
  <si>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</si>
  <si>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</si>
  <si>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</si>
  <si>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</si>
  <si>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</si>
  <si>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</si>
  <si>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</si>
  <si>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</si>
  <si>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</si>
  <si>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</si>
  <si>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</si>
  <si>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</si>
  <si>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</si>
  <si>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</si>
  <si>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</si>
  <si>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</si>
  <si>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</si>
  <si>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</si>
  <si>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</si>
  <si>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</si>
  <si>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</si>
  <si>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</si>
  <si>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</si>
  <si>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</si>
  <si>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</si>
  <si>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</si>
  <si>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</si>
  <si>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</si>
  <si>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</si>
  <si>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</si>
  <si>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</si>
  <si>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</si>
  <si>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</si>
  <si>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</si>
  <si>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</si>
  <si>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</si>
  <si>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</si>
  <si>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</si>
  <si>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</si>
  <si>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</si>
  <si>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</si>
  <si>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</si>
  <si>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</si>
  <si>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</si>
  <si>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</si>
  <si>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</si>
  <si>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</si>
  <si>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</si>
  <si>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</si>
  <si>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</si>
  <si>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</si>
  <si>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</si>
  <si>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</si>
  <si>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</si>
  <si>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</si>
  <si>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</si>
  <si>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</si>
  <si>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</si>
  <si>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</si>
  <si>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</si>
  <si>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</si>
  <si>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</si>
  <si>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</si>
  <si>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</si>
  <si>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</si>
  <si>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</si>
  <si>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</si>
  <si>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</si>
  <si>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</si>
  <si>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</si>
  <si>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</si>
  <si>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</si>
  <si>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</si>
  <si>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</si>
  <si>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</si>
  <si>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</si>
  <si>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</si>
  <si>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</si>
  <si>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</si>
  <si>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</si>
  <si>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</si>
  <si>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</si>
  <si>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</si>
  <si>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</si>
  <si>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</si>
  <si>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</si>
  <si>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</si>
  <si>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</si>
  <si>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</si>
  <si>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</si>
  <si>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</si>
  <si>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</si>
  <si>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</si>
  <si>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</si>
  <si>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</si>
  <si>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</si>
  <si>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</si>
  <si>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</si>
  <si>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</si>
  <si>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</si>
  <si>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</si>
  <si>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</si>
  <si>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</si>
  <si>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</si>
  <si>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</si>
  <si>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</si>
  <si>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</si>
  <si>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</si>
  <si>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</si>
  <si>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</si>
  <si>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</si>
  <si>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</si>
  <si>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</si>
  <si>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</si>
  <si>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</si>
  <si>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</si>
  <si>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</si>
  <si>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</si>
  <si>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</si>
  <si>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</si>
  <si>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</si>
  <si>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</si>
  <si>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</si>
  <si>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</si>
  <si>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</si>
  <si>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</si>
  <si>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</si>
  <si>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</si>
  <si>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</si>
  <si>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</si>
  <si>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</si>
  <si>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</si>
  <si>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</si>
  <si>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</si>
  <si>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</si>
  <si>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</si>
  <si>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</si>
  <si>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</si>
  <si>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</si>
  <si>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</si>
  <si>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</si>
  <si>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</si>
  <si>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</si>
  <si>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</si>
  <si>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</si>
  <si>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</si>
  <si>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</si>
  <si>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</si>
  <si>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</si>
  <si>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</si>
  <si>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</si>
  <si>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</si>
  <si>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</si>
  <si>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</si>
  <si>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</si>
  <si>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</si>
  <si>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</si>
  <si>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</si>
  <si>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</si>
  <si>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</si>
  <si>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</si>
  <si>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</si>
  <si>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</si>
  <si>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</si>
  <si>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</si>
  <si>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</si>
  <si>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</si>
  <si>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</si>
  <si>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</si>
  <si>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</si>
  <si>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</si>
  <si>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</si>
  <si>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</si>
  <si>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</si>
  <si>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</si>
  <si>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</si>
  <si>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</si>
  <si>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</si>
  <si>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</si>
  <si>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</si>
  <si>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</si>
  <si>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</si>
  <si>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</si>
  <si>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</si>
  <si>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</si>
  <si>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</si>
  <si>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</si>
  <si>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</si>
  <si>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</si>
  <si>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</si>
  <si>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</si>
  <si>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</si>
  <si>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</si>
  <si>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</si>
  <si>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</si>
  <si>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</si>
  <si>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</si>
  <si>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</si>
  <si>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</si>
  <si>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</si>
  <si>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</si>
  <si>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</si>
  <si>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</si>
  <si>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</si>
  <si>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</si>
  <si>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</si>
  <si>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</si>
  <si>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</si>
  <si>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</si>
  <si>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</si>
  <si>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</si>
  <si>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</si>
  <si>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</si>
  <si>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</si>
  <si>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</si>
  <si>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</si>
  <si>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</si>
  <si>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</si>
  <si>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</si>
  <si>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</si>
  <si>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</si>
  <si>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</si>
  <si>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</si>
  <si>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</si>
  <si>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</si>
  <si>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</si>
  <si>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</si>
  <si>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</si>
  <si>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</si>
  <si>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</si>
  <si>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</si>
  <si>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</si>
  <si>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</si>
  <si>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</si>
  <si>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</si>
  <si>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</si>
  <si>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</si>
  <si>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</si>
  <si>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</si>
  <si>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</si>
  <si>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</si>
  <si>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</si>
  <si>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</si>
  <si>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</si>
  <si>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</si>
  <si>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</si>
  <si>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</si>
  <si>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</si>
  <si>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</si>
  <si>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</si>
  <si>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</si>
  <si>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</si>
  <si>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</si>
  <si>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</si>
  <si>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</si>
  <si>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</si>
  <si>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</si>
  <si>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</si>
  <si>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</si>
  <si>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</si>
  <si>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</si>
  <si>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</si>
  <si>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</si>
  <si>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</si>
  <si>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</si>
  <si>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</si>
  <si>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</si>
  <si>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</si>
  <si>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</si>
  <si>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</si>
  <si>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</si>
  <si>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</si>
  <si>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</si>
  <si>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</si>
  <si>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</si>
  <si>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</si>
  <si>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</si>
  <si>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</si>
  <si>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</si>
  <si>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</si>
  <si>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</si>
  <si>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</si>
  <si>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</si>
  <si>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</si>
  <si>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</si>
  <si>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</si>
  <si>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</si>
  <si>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</si>
  <si>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</si>
  <si>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</si>
  <si>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</si>
  <si>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</si>
  <si>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</si>
  <si>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</si>
  <si>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</si>
  <si>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</si>
  <si>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</si>
  <si>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</si>
  <si>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</si>
  <si>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</si>
  <si>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</si>
  <si>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</si>
  <si>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</si>
  <si>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</si>
  <si>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</si>
  <si>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</si>
  <si>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</si>
  <si>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</si>
  <si>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</si>
  <si>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</si>
  <si>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</si>
  <si>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</si>
  <si>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</si>
  <si>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</si>
  <si>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</si>
  <si>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</si>
  <si>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</si>
  <si>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</si>
  <si>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</si>
  <si>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</si>
  <si>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</si>
  <si>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</si>
  <si>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</si>
  <si>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</si>
  <si>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</si>
  <si>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</si>
  <si>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</si>
  <si>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</si>
  <si>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</si>
  <si>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</si>
  <si>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</si>
  <si>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</si>
  <si>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</si>
  <si>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</si>
  <si>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</si>
  <si>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</si>
  <si>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</si>
  <si>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</si>
  <si>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</si>
  <si>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</si>
  <si>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</si>
  <si>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</si>
  <si>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</si>
  <si>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</si>
  <si>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</si>
  <si>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</si>
  <si>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</si>
  <si>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</si>
  <si>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</si>
  <si>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</si>
  <si>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</si>
  <si>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</si>
  <si>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</si>
  <si>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</si>
  <si>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</si>
  <si>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</si>
  <si>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</si>
  <si>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</si>
  <si>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</si>
  <si>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</si>
  <si>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</si>
  <si>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</si>
  <si>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</si>
  <si>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</si>
  <si>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</si>
  <si>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</si>
  <si>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</si>
  <si>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</si>
  <si>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</si>
  <si>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</si>
  <si>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</si>
  <si>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</si>
  <si>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</si>
  <si>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</si>
  <si>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</si>
  <si>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</si>
  <si>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</si>
  <si>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</si>
  <si>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</si>
  <si>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</si>
  <si>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</si>
  <si>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</si>
  <si>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</si>
  <si>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</si>
  <si>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</si>
  <si>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</si>
  <si>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</si>
  <si>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</si>
  <si>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</si>
  <si>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</si>
  <si>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</si>
  <si>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</si>
  <si>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</si>
  <si>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</si>
  <si>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</si>
  <si>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</si>
  <si>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</si>
  <si>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</si>
  <si>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</si>
  <si>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</si>
  <si>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</si>
  <si>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</si>
  <si>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</si>
  <si>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</si>
  <si>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</si>
  <si>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</si>
  <si>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</si>
  <si>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</si>
  <si>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</si>
  <si>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</si>
  <si>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</si>
  <si>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</si>
  <si>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</si>
  <si>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</si>
  <si>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</si>
  <si>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</si>
  <si>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</si>
  <si>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</si>
  <si>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</si>
  <si>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</si>
  <si>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</si>
  <si>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</si>
  <si>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</si>
  <si>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</si>
  <si>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</si>
  <si>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</si>
  <si>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</si>
  <si>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</si>
  <si>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</si>
  <si>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</si>
  <si>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</si>
  <si>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</si>
  <si>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</si>
  <si>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</si>
  <si>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</si>
  <si>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</si>
  <si>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</si>
  <si>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</si>
  <si>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</si>
  <si>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</si>
  <si>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</si>
  <si>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</si>
  <si>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</si>
  <si>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</si>
  <si>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</si>
  <si>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</si>
  <si>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</si>
  <si>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</si>
  <si>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</si>
  <si>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</si>
  <si>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</si>
  <si>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</si>
  <si>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</si>
  <si>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</si>
  <si>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</si>
  <si>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</si>
  <si>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</si>
  <si>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</si>
  <si>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</si>
  <si>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</si>
  <si>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</si>
  <si>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</si>
  <si>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</si>
  <si>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</si>
  <si>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</si>
  <si>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</si>
  <si>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</si>
  <si>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</si>
  <si>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</si>
  <si>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</si>
  <si>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</si>
  <si>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</si>
  <si>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</si>
  <si>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</si>
  <si>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</si>
  <si>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</si>
  <si>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</si>
  <si>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</si>
  <si>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</si>
  <si>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</si>
  <si>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</si>
  <si>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</si>
  <si>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</si>
  <si>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</si>
  <si>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</si>
  <si>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</si>
  <si>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</si>
  <si>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</si>
  <si>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</si>
  <si>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</si>
  <si>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</si>
  <si>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</si>
  <si>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</si>
  <si>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</si>
  <si>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</si>
  <si>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</si>
  <si>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</si>
  <si>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</si>
  <si>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</si>
  <si>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</si>
  <si>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</si>
  <si>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</si>
  <si>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</si>
  <si>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</si>
  <si>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</si>
  <si>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</si>
  <si>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</si>
  <si>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</si>
  <si>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</si>
  <si>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</si>
  <si>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</si>
  <si>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</si>
  <si>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</si>
  <si>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</si>
  <si>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</si>
  <si>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</si>
  <si>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</si>
  <si>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</si>
  <si>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</si>
  <si>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</si>
  <si>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</si>
  <si>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</si>
  <si>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</si>
  <si>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</si>
  <si>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</si>
  <si>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</si>
  <si>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</si>
  <si>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</si>
  <si>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</si>
  <si>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</si>
  <si>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</si>
  <si>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</si>
  <si>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</si>
  <si>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</si>
  <si>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</si>
  <si>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</si>
  <si>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</si>
  <si>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</si>
  <si>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</si>
  <si>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</si>
  <si>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</si>
  <si>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</si>
  <si>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</si>
  <si>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</si>
  <si>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</si>
  <si>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</si>
  <si>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</si>
  <si>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</si>
  <si>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</si>
  <si>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</si>
  <si>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</si>
  <si>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</si>
  <si>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</si>
  <si>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</si>
  <si>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</si>
  <si>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</si>
  <si>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</si>
  <si>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</si>
  <si>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</si>
  <si>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</si>
  <si>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</si>
  <si>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</si>
  <si>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</si>
  <si>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</si>
  <si>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</si>
  <si>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</si>
  <si>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</si>
  <si>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</si>
  <si>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</si>
  <si>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</si>
  <si>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</si>
  <si>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</si>
  <si>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</si>
  <si>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</si>
  <si>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</si>
  <si>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</si>
  <si>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</si>
  <si>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</si>
  <si>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</si>
  <si>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</si>
  <si>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</si>
  <si>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</si>
  <si>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</si>
  <si>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</si>
  <si>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</si>
  <si>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</si>
  <si>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</si>
  <si>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</si>
  <si>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</si>
  <si>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</si>
  <si>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</si>
  <si>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</si>
  <si>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</si>
  <si>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</si>
  <si>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</si>
  <si>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</si>
  <si>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</si>
  <si>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</si>
  <si>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</si>
  <si>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</si>
  <si>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</si>
  <si>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</si>
  <si>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</si>
  <si>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</si>
  <si>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</si>
  <si>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</si>
  <si>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</si>
  <si>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</si>
  <si>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</si>
  <si>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</si>
  <si>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</si>
  <si>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</si>
  <si>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</si>
  <si>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</si>
  <si>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</si>
  <si>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</si>
  <si>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</si>
  <si>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</si>
  <si>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</si>
  <si>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</si>
  <si>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</si>
  <si>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</si>
  <si>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</si>
  <si>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</si>
  <si>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</si>
  <si>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</si>
  <si>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</si>
  <si>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</si>
  <si>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</si>
  <si>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</si>
  <si>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</si>
  <si>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</si>
  <si>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</si>
  <si>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</si>
  <si>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</si>
  <si>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</si>
  <si>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</si>
  <si>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</si>
  <si>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</si>
  <si>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</si>
  <si>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</si>
  <si>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</si>
  <si>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</si>
  <si>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</si>
  <si>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</si>
  <si>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</si>
  <si>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</si>
  <si>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</si>
  <si>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</si>
  <si>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</si>
  <si>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</si>
  <si>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</si>
  <si>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</si>
  <si>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</si>
  <si>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</si>
  <si>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</si>
  <si>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</si>
  <si>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</si>
  <si>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</si>
  <si>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</si>
  <si>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</si>
  <si>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</si>
  <si>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</si>
  <si>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</si>
  <si>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</si>
  <si>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</si>
  <si>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</si>
  <si>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</si>
  <si>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</si>
  <si>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</si>
  <si>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</si>
  <si>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</si>
  <si>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</si>
  <si>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</si>
  <si>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</si>
  <si>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</si>
  <si>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</si>
  <si>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</si>
  <si>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</si>
  <si>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</si>
  <si>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</si>
  <si>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</si>
  <si>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</si>
  <si>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</si>
  <si>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</si>
  <si>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</si>
  <si>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</si>
  <si>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</si>
  <si>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</si>
  <si>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</si>
  <si>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</si>
  <si>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</si>
  <si>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</si>
  <si>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</si>
  <si>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</si>
  <si>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</si>
  <si>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</si>
  <si>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</si>
  <si>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</si>
  <si>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</si>
  <si>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</si>
  <si>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</si>
  <si>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</si>
  <si>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</si>
  <si>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</si>
  <si>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</si>
  <si>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</si>
  <si>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</si>
  <si>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</si>
  <si>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</si>
  <si>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</si>
  <si>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</si>
  <si>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</si>
  <si>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</si>
  <si>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</si>
  <si>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</si>
  <si>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</si>
  <si>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</si>
  <si>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</si>
  <si>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</si>
  <si>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</si>
  <si>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</si>
  <si>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</si>
  <si>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</si>
  <si>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</si>
  <si>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</si>
  <si>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</si>
  <si>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</si>
  <si>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</si>
  <si>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</si>
  <si>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</si>
  <si>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</si>
  <si>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</si>
  <si>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</si>
  <si>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</si>
  <si>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</si>
  <si>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</si>
  <si>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</si>
  <si>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</si>
  <si>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</si>
  <si>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</si>
  <si>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</si>
  <si>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</si>
  <si>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</si>
  <si>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</si>
  <si>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</si>
  <si>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</si>
  <si>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</si>
  <si>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</si>
  <si>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</si>
  <si>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</si>
  <si>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</si>
  <si>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</si>
  <si>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</si>
  <si>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</si>
  <si>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</si>
  <si>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</si>
  <si>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</si>
  <si>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</si>
  <si>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</si>
  <si>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</si>
  <si>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</si>
  <si>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</si>
  <si>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</si>
  <si>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</si>
  <si>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</si>
  <si>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</si>
  <si>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</si>
  <si>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</si>
  <si>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</si>
  <si>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</si>
  <si>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</si>
  <si>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</si>
  <si>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</si>
  <si>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</si>
  <si>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</si>
  <si>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</si>
  <si>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</si>
  <si>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</si>
  <si>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</si>
  <si>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</si>
  <si>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</si>
  <si>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</si>
  <si>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</si>
  <si>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</si>
  <si>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</si>
  <si>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</si>
  <si>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</si>
  <si>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</si>
  <si>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</si>
  <si>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</si>
  <si>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</si>
  <si>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</si>
  <si>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</si>
  <si>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</si>
  <si>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</si>
  <si>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</si>
  <si>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</si>
  <si>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</si>
  <si>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</si>
  <si>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</si>
  <si>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</si>
  <si>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</si>
  <si>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</si>
  <si>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</si>
  <si>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</si>
  <si>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</si>
  <si>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</si>
  <si>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</si>
  <si>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</si>
  <si>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</si>
  <si>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</si>
  <si>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</si>
  <si>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</si>
  <si>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</si>
  <si>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</si>
  <si>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</si>
  <si>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</si>
  <si>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</si>
  <si>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</si>
  <si>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</si>
  <si>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</si>
  <si>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</si>
  <si>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</si>
  <si>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</si>
  <si>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</si>
  <si>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</si>
  <si>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</si>
  <si>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</si>
  <si>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</si>
  <si>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</si>
  <si>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</si>
  <si>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</si>
  <si>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</si>
  <si>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</si>
  <si>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</si>
  <si>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</si>
  <si>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</si>
  <si>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</si>
  <si>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</si>
  <si>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</si>
  <si>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</si>
  <si>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</si>
  <si>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</si>
  <si>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</si>
  <si>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</si>
  <si>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</si>
  <si>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</si>
  <si>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</si>
  <si>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</si>
  <si>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</si>
  <si>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</si>
  <si>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</si>
  <si>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</si>
  <si>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</si>
  <si>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</si>
  <si>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</si>
  <si>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</si>
  <si>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</si>
  <si>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</si>
  <si>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</si>
  <si>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</si>
  <si>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</si>
  <si>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</si>
  <si>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</si>
  <si>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</si>
  <si>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</si>
  <si>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</si>
  <si>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</si>
  <si>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</si>
  <si>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</si>
  <si>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</si>
  <si>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</si>
  <si>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</si>
  <si>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</si>
  <si>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</si>
  <si>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</si>
  <si>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</si>
  <si>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</si>
  <si>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</si>
  <si>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</si>
  <si>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</si>
  <si>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</si>
  <si>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</si>
  <si>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</si>
  <si>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</si>
  <si>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</si>
  <si>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</si>
  <si>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</si>
  <si>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</si>
  <si>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</si>
  <si>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</si>
  <si>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</si>
  <si>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</si>
  <si>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</si>
  <si>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</si>
  <si>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</si>
  <si>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</si>
  <si>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</si>
  <si>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</si>
  <si>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</si>
  <si>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</si>
  <si>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</si>
  <si>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</si>
  <si>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</si>
  <si>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</si>
  <si>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</si>
  <si>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</si>
  <si>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</si>
  <si>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</si>
  <si>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</si>
  <si>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</si>
  <si>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</si>
  <si>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</si>
  <si>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</si>
  <si>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</si>
  <si>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</si>
  <si>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</si>
  <si>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</si>
  <si>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</si>
  <si>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</si>
  <si>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</si>
  <si>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</si>
  <si>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</si>
  <si>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</si>
  <si>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</si>
  <si>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</si>
  <si>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</si>
  <si>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</si>
  <si>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</si>
  <si>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</si>
  <si>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</si>
  <si>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</si>
  <si>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</si>
  <si>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</si>
  <si>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</si>
  <si>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</si>
  <si>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</si>
  <si>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</si>
  <si>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</si>
  <si>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</si>
  <si>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</si>
  <si>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</si>
  <si>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</si>
  <si>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</si>
  <si>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</si>
  <si>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</si>
  <si>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</si>
  <si>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</si>
  <si>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</si>
  <si>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</si>
  <si>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</si>
  <si>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</si>
  <si>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</si>
  <si>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</si>
  <si>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</si>
  <si>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</si>
  <si>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</si>
  <si>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</si>
  <si>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</si>
  <si>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</si>
  <si>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</si>
  <si>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</si>
  <si>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</si>
  <si>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</si>
  <si>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</si>
  <si>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</si>
  <si>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</si>
  <si>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</si>
  <si>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</si>
  <si>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</si>
  <si>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</si>
  <si>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</si>
  <si>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</si>
  <si>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</si>
  <si>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</si>
  <si>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</si>
  <si>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</si>
  <si>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</si>
  <si>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</si>
  <si>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</si>
  <si>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</si>
  <si>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</si>
  <si>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</si>
  <si>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</si>
  <si>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</si>
  <si>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</si>
  <si>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</si>
  <si>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</si>
  <si>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</si>
  <si>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</si>
  <si>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</si>
  <si>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</si>
  <si>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</si>
  <si>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</si>
  <si>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</si>
  <si>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</si>
  <si>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</si>
  <si>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</si>
  <si>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</si>
  <si>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</si>
  <si>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</si>
  <si>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</si>
  <si>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</si>
  <si>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</si>
  <si>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</si>
  <si>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</si>
  <si>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</si>
  <si>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</si>
  <si>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</si>
  <si>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</si>
  <si>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</si>
  <si>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</si>
  <si>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</si>
  <si>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</si>
  <si>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</si>
  <si>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</si>
  <si>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</si>
  <si>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</si>
  <si>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</si>
  <si>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</si>
  <si>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</si>
  <si>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</si>
  <si>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</si>
  <si>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</si>
  <si>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</si>
  <si>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</si>
  <si>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</si>
  <si>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</si>
  <si>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</si>
  <si>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</si>
  <si>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</si>
  <si>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</si>
  <si>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</si>
  <si>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</si>
  <si>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</si>
  <si>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</si>
  <si>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</si>
  <si>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</si>
  <si>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</si>
  <si>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</si>
  <si>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</si>
  <si>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</si>
  <si>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</si>
  <si>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</si>
  <si>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</si>
  <si>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</si>
  <si>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</si>
  <si>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</si>
  <si>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</si>
  <si>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</si>
  <si>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</si>
  <si>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</si>
  <si>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</si>
  <si>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</si>
  <si>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</si>
  <si>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</si>
  <si>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</si>
  <si>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</si>
  <si>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</si>
  <si>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</si>
  <si>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</si>
  <si>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</si>
  <si>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</si>
  <si>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</si>
  <si>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</si>
  <si>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</si>
  <si>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</si>
  <si>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</si>
  <si>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</si>
  <si>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</si>
  <si>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</si>
  <si>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</si>
  <si>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</si>
  <si>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</si>
  <si>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</si>
  <si>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</si>
  <si>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</si>
  <si>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</si>
  <si>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</si>
  <si>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</si>
  <si>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</si>
  <si>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</si>
  <si>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</si>
  <si>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</si>
  <si>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</si>
  <si>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</si>
  <si>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</si>
  <si>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</si>
  <si>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</si>
  <si>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</si>
  <si>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</si>
  <si>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</si>
  <si>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</si>
  <si>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</si>
  <si>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</si>
  <si>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</si>
  <si>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</si>
  <si>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</si>
  <si>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</si>
  <si>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</si>
  <si>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</si>
  <si>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</si>
  <si>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</si>
  <si>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</si>
  <si>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</si>
  <si>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</si>
  <si>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</si>
  <si>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</si>
  <si>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</si>
  <si>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</si>
  <si>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</si>
  <si>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</si>
  <si>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</si>
  <si>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</si>
  <si>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</si>
  <si>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</si>
  <si>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</si>
  <si>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</si>
  <si>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</si>
  <si>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</si>
  <si>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</si>
  <si>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</si>
  <si>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</si>
  <si>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</si>
  <si>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</si>
  <si>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</si>
  <si>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</si>
  <si>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</si>
  <si>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</si>
  <si>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</si>
  <si>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</si>
  <si>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</si>
  <si>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</si>
  <si>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</si>
  <si>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</si>
  <si>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</si>
  <si>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</si>
  <si>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</si>
  <si>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</si>
  <si>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</si>
  <si>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</si>
  <si>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</si>
  <si>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</si>
  <si>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</si>
  <si>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</si>
  <si>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</si>
  <si>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</si>
  <si>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</si>
  <si>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</si>
  <si>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</si>
  <si>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</si>
  <si>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</si>
  <si>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</si>
  <si>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</si>
  <si>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</si>
  <si>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</si>
  <si>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</si>
  <si>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</si>
  <si>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</si>
  <si>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</si>
  <si>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</si>
  <si>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</si>
  <si>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</si>
  <si>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</si>
  <si>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</si>
  <si>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</si>
  <si>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</si>
  <si>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</si>
  <si>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</si>
  <si>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</si>
  <si>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</si>
  <si>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</si>
  <si>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</si>
  <si>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</si>
  <si>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</si>
  <si>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</si>
  <si>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</si>
  <si>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</si>
  <si>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</si>
  <si>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</si>
  <si>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</si>
  <si>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</si>
  <si>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</si>
  <si>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</si>
  <si>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</si>
  <si>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</si>
  <si>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</si>
  <si>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</si>
  <si>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</si>
  <si>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</si>
  <si>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</si>
  <si>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</si>
  <si>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</si>
  <si>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</si>
  <si>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</si>
  <si>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</si>
  <si>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</si>
  <si>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</si>
  <si>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</si>
  <si>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</si>
  <si>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</si>
  <si>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</si>
  <si>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</si>
  <si>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</si>
  <si>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</si>
  <si>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</si>
  <si>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</si>
  <si>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</si>
  <si>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</si>
  <si>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</si>
  <si>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</si>
  <si>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</si>
  <si>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</si>
  <si>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</si>
  <si>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</si>
  <si>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</si>
  <si>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</si>
  <si>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</si>
  <si>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</si>
  <si>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</si>
  <si>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</si>
  <si>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</si>
  <si>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</si>
  <si>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</si>
  <si>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</si>
  <si>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</si>
  <si>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</si>
  <si>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</si>
  <si>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</si>
  <si>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</si>
  <si>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</si>
  <si>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</si>
  <si>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</si>
  <si>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</si>
  <si>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</si>
  <si>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</si>
  <si>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</si>
  <si>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</si>
  <si>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</si>
  <si>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</si>
  <si>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</si>
  <si>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</si>
  <si>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</si>
  <si>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</si>
  <si>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</si>
  <si>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</si>
  <si>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</si>
  <si>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</si>
  <si>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</si>
  <si>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</si>
  <si>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</si>
  <si>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</si>
  <si>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</si>
  <si>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</si>
  <si>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</si>
  <si>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</si>
  <si>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</si>
  <si>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</si>
  <si>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</si>
  <si>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</si>
  <si>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</si>
  <si>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</si>
  <si>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</si>
  <si>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</si>
  <si>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</si>
  <si>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</si>
  <si>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</si>
  <si>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</si>
  <si>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</si>
  <si>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</si>
  <si>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</si>
  <si>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</si>
  <si>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</si>
  <si>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</si>
  <si>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</si>
  <si>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</si>
  <si>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</si>
  <si>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</si>
  <si>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</si>
  <si>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</si>
  <si>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</si>
  <si>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</si>
  <si>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</si>
  <si>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</si>
  <si>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</si>
  <si>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</si>
  <si>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</si>
  <si>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</si>
  <si>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</si>
  <si>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</si>
  <si>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</si>
  <si>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</si>
  <si>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</si>
  <si>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</si>
  <si>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</si>
  <si>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</si>
  <si>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</si>
  <si>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</si>
  <si>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</si>
  <si>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</si>
  <si>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</si>
  <si>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</si>
  <si>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</si>
  <si>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</si>
  <si>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</si>
  <si>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</si>
  <si>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</si>
  <si>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</si>
  <si>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</si>
  <si>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</si>
  <si>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</si>
  <si>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</si>
  <si>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</si>
  <si>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</si>
  <si>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</si>
  <si>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</si>
  <si>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</si>
  <si>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</si>
  <si>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</si>
  <si>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</si>
  <si>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</si>
  <si>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</si>
  <si>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</si>
  <si>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</si>
  <si>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</si>
  <si>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</si>
  <si>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</si>
  <si>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</si>
  <si>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</si>
  <si>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</si>
  <si>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</si>
  <si>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</si>
  <si>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</si>
  <si>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</si>
  <si>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</si>
  <si>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</si>
  <si>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</si>
  <si>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</si>
  <si>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</si>
  <si>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</si>
  <si>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</si>
  <si>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</si>
  <si>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</si>
  <si>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</si>
  <si>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</si>
  <si>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</si>
  <si>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</si>
  <si>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</si>
  <si>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</si>
  <si>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</si>
  <si>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</si>
  <si>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</si>
  <si>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</si>
  <si>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</si>
  <si>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</si>
  <si>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</si>
  <si>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</si>
  <si>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</si>
  <si>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</si>
  <si>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</si>
  <si>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</si>
  <si>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</si>
  <si>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</si>
  <si>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</si>
  <si>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</si>
  <si>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</si>
  <si>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</si>
  <si>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</si>
  <si>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</si>
  <si>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</si>
  <si>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</si>
  <si>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</si>
  <si>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</si>
  <si>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</si>
  <si>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</si>
  <si>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</si>
  <si>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</si>
  <si>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</si>
  <si>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</si>
  <si>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</si>
  <si>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</si>
  <si>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</si>
  <si>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</si>
  <si>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</si>
  <si>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</si>
  <si>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</si>
  <si>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</si>
  <si>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</si>
  <si>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</si>
  <si>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</si>
  <si>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</si>
  <si>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</si>
  <si>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</si>
  <si>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</si>
  <si>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</si>
  <si>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</si>
  <si>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</si>
  <si>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</si>
  <si>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</si>
  <si>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</si>
  <si>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</si>
  <si>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</si>
  <si>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</si>
  <si>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</si>
  <si>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</si>
  <si>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</si>
  <si>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</si>
  <si>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</si>
  <si>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</si>
  <si>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</si>
  <si>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</si>
  <si>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</si>
  <si>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</si>
  <si>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</si>
  <si>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</si>
  <si>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</si>
  <si>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</si>
  <si>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</si>
  <si>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</si>
  <si>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</si>
  <si>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</si>
  <si>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</si>
  <si>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</si>
  <si>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</si>
  <si>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</si>
  <si>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</si>
  <si>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</si>
  <si>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</si>
  <si>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</si>
  <si>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</si>
  <si>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</si>
  <si>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</si>
  <si>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</si>
  <si>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</si>
  <si>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</si>
  <si>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</si>
  <si>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</si>
  <si>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</si>
  <si>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</si>
  <si>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</si>
  <si>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</si>
  <si>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</si>
  <si>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</si>
  <si>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</si>
  <si>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</si>
  <si>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</si>
  <si>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</si>
  <si>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</si>
  <si>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</si>
  <si>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</si>
  <si>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</si>
  <si>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</si>
  <si>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</si>
  <si>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</si>
  <si>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</si>
  <si>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</si>
  <si>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</si>
  <si>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</si>
  <si>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</si>
  <si>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</si>
  <si>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</si>
  <si>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</si>
  <si>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</si>
  <si>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</si>
  <si>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</si>
  <si>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</si>
  <si>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</si>
  <si>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</si>
  <si>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</si>
  <si>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</si>
  <si>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</si>
  <si>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</si>
  <si>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</si>
  <si>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</si>
  <si>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</si>
  <si>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</si>
  <si>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</si>
  <si>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</si>
  <si>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</si>
  <si>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</si>
  <si>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</si>
  <si>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</si>
  <si>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</si>
  <si>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</si>
  <si>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</si>
  <si>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</si>
  <si>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</si>
  <si>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</si>
  <si>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</si>
  <si>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</si>
  <si>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</si>
  <si>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</si>
  <si>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</si>
  <si>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</si>
  <si>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</si>
  <si>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</si>
  <si>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</si>
  <si>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</si>
  <si>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</si>
  <si>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</si>
  <si>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</si>
  <si>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</si>
  <si>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</si>
  <si>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</si>
  <si>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</si>
  <si>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</si>
  <si>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</si>
  <si>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</si>
  <si>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</si>
  <si>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</si>
  <si>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</si>
  <si>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</si>
  <si>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</si>
  <si>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</si>
  <si>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</si>
  <si>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</si>
  <si>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</si>
  <si>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</si>
  <si>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</si>
  <si>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</si>
  <si>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</si>
  <si>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</si>
  <si>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</si>
  <si>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</si>
  <si>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</si>
  <si>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</si>
  <si>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</si>
  <si>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</si>
  <si>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</si>
  <si>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</si>
  <si>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</si>
  <si>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</si>
  <si>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</si>
  <si>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</si>
  <si>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</si>
  <si>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</si>
  <si>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</si>
  <si>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</si>
  <si>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</si>
  <si>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</si>
  <si>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</si>
  <si>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</si>
  <si>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</si>
  <si>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</si>
  <si>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</si>
  <si>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</si>
  <si>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</si>
  <si>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</si>
  <si>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</si>
  <si>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</si>
  <si>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</si>
  <si>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</si>
  <si>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</si>
  <si>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</si>
  <si>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</si>
  <si>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</si>
  <si>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</si>
  <si>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</si>
  <si>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</si>
  <si>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</si>
  <si>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</si>
  <si>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</si>
  <si>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</si>
  <si>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</si>
  <si>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</si>
  <si>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</si>
  <si>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</si>
  <si>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</si>
  <si>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</si>
  <si>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</si>
  <si>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</si>
  <si>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</si>
  <si>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</si>
  <si>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</si>
  <si>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</si>
  <si>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</si>
  <si>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</si>
  <si>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</si>
  <si>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APP</t>
  </si>
  <si>
    <t>PWI 11</t>
  </si>
  <si>
    <t>Trafo 3 Fasa 100 KVA 1 Tiang (G312-A)</t>
  </si>
  <si>
    <t xml:space="preserve">Jumper Wire : </t>
  </si>
  <si>
    <t>NFA2X-T 3 x 70 + N 50 mm²</t>
  </si>
  <si>
    <t>Sepatu Kabel AL/CU Ring-70 mm²</t>
  </si>
  <si>
    <t>PEKERJAAN PEMASANGAN TRAFO</t>
  </si>
  <si>
    <t>HERI SULISTYAWAN</t>
  </si>
  <si>
    <t>K2-603/380</t>
  </si>
  <si>
    <t>PWI11</t>
  </si>
  <si>
    <t>JL GAJAHAMADA 68 WIROSARI</t>
  </si>
  <si>
    <t>PM</t>
  </si>
  <si>
    <t xml:space="preserve">KOORDINAT : </t>
  </si>
  <si>
    <t>Daya 82.500 VA</t>
  </si>
  <si>
    <t>PEKERJAAN PEMBONGKARAN</t>
  </si>
  <si>
    <t>Wirosari,  Oktober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</si>
</sst>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20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4" fontId="34" fillId="0" borderId="3"/>
    <xf numFmtId="184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68" fillId="0" borderId="0" applyFont="0" applyFill="0" applyBorder="0" applyAlignment="0" applyProtection="0"/>
    <xf numFmtId="186" fontId="70" fillId="0" borderId="0">
      <protection locked="0"/>
    </xf>
    <xf numFmtId="14" fontId="62" fillId="0" borderId="0" applyFill="0" applyBorder="0" applyAlignment="0"/>
    <xf numFmtId="187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8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89" fontId="75" fillId="0" borderId="0">
      <protection locked="0"/>
    </xf>
    <xf numFmtId="189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0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1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20" fillId="0" borderId="0"/>
    <xf numFmtId="191" fontId="34" fillId="0" borderId="0"/>
    <xf numFmtId="170" fontId="81" fillId="0" borderId="0"/>
    <xf numFmtId="170" fontId="82" fillId="0" borderId="0"/>
    <xf numFmtId="170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2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0" fontId="82" fillId="0" borderId="0"/>
    <xf numFmtId="0" fontId="82" fillId="0" borderId="0"/>
    <xf numFmtId="193" fontId="82" fillId="0" borderId="0"/>
    <xf numFmtId="194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3" fontId="82" fillId="0" borderId="0"/>
    <xf numFmtId="0" fontId="82" fillId="0" borderId="0"/>
    <xf numFmtId="0" fontId="34" fillId="0" borderId="0"/>
    <xf numFmtId="0" fontId="20" fillId="0" borderId="0"/>
    <xf numFmtId="180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6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5" fontId="82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2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2" fontId="41" fillId="0" borderId="0"/>
    <xf numFmtId="192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4" fontId="34" fillId="0" borderId="0" applyFont="0" applyFill="0" applyBorder="0" applyAlignment="0" applyProtection="0"/>
    <xf numFmtId="174" fontId="20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2" fillId="0" borderId="0"/>
    <xf numFmtId="199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0" fontId="34" fillId="0" borderId="0" applyFill="0" applyBorder="0" applyAlignment="0"/>
    <xf numFmtId="200" fontId="20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4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4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11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7" fontId="43" fillId="0" borderId="0" xfId="714" applyFont="1" applyFill="1" applyAlignment="1">
      <alignment horizontal="center" wrapText="1"/>
    </xf>
    <xf numFmtId="167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7" fontId="43" fillId="0" borderId="21" xfId="715" applyNumberFormat="1" applyFont="1" applyFill="1" applyBorder="1" applyAlignment="1">
      <alignment horizontal="center" vertical="center" wrapText="1"/>
    </xf>
    <xf numFmtId="167" fontId="43" fillId="0" borderId="21" xfId="714" applyFont="1" applyFill="1" applyBorder="1" applyAlignment="1">
      <alignment horizontal="center" vertical="center" wrapText="1"/>
    </xf>
    <xf numFmtId="167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5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7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7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7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7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7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7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7" fontId="111" fillId="29" borderId="3" xfId="1538" applyNumberFormat="1" applyFill="1" applyBorder="1" applyAlignment="1">
      <alignment horizontal="right"/>
    </xf>
    <xf numFmtId="165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5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7" fontId="140" fillId="40" borderId="87" xfId="2672" applyNumberFormat="1" applyFont="1" applyFill="1" applyBorder="1" applyAlignment="1" applyProtection="1">
      <alignment horizontal="right" vertical="center"/>
      <protection locked="0"/>
    </xf>
    <xf numFmtId="167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4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5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7" fontId="144" fillId="46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175" fillId="33" borderId="0" xfId="2678" applyFill="1"/>
    <xf numFmtId="0" fontId="43" fillId="0" borderId="21" xfId="1451" applyFont="1" applyFill="1" applyBorder="1" applyAlignment="1">
      <alignment horizontal="left" vertical="center" wrapText="1"/>
    </xf>
    <xf numFmtId="0" fontId="114" fillId="33" borderId="0" xfId="0" applyFont="1" applyFill="1" applyAlignment="1">
      <alignment vertical="center" wrapText="1"/>
    </xf>
    <xf numFmtId="0" fontId="114" fillId="33" borderId="37" xfId="0" applyFont="1" applyFill="1" applyBorder="1" applyAlignment="1">
      <alignment vertical="center" wrapText="1"/>
    </xf>
    <xf numFmtId="0" fontId="114" fillId="33" borderId="44" xfId="0" applyFont="1" applyFill="1" applyBorder="1" applyAlignment="1">
      <alignment vertical="center" wrapText="1"/>
    </xf>
    <xf numFmtId="0" fontId="114" fillId="33" borderId="45" xfId="0" applyFont="1" applyFill="1" applyBorder="1" applyAlignment="1">
      <alignment vertical="center" wrapText="1"/>
    </xf>
    <xf numFmtId="0" fontId="114" fillId="33" borderId="18" xfId="0" applyFont="1" applyFill="1" applyBorder="1" applyAlignment="1">
      <alignment vertical="center" wrapText="1"/>
    </xf>
    <xf numFmtId="0" fontId="114" fillId="33" borderId="43" xfId="0" applyFont="1" applyFill="1" applyBorder="1" applyAlignment="1">
      <alignment vertical="center" wrapText="1"/>
    </xf>
    <xf numFmtId="0" fontId="42" fillId="0" borderId="21" xfId="1615" applyNumberFormat="1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2" fillId="0" borderId="20" xfId="1615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113" fillId="0" borderId="20" xfId="1652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9" fillId="0" borderId="21" xfId="1614" applyFont="1" applyFill="1" applyBorder="1" applyAlignment="1">
      <alignment horizontal="center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3" fillId="0" borderId="21" xfId="0" applyFont="1" applyFill="1" applyBorder="1" applyAlignment="1">
      <alignment horizontal="left" vertical="center" wrapText="1"/>
    </xf>
    <xf numFmtId="3" fontId="9" fillId="0" borderId="21" xfId="1599" applyNumberFormat="1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164" fontId="152" fillId="0" borderId="0" xfId="1614" applyNumberFormat="1" applyFont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7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5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5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4" borderId="3" xfId="2673" applyNumberFormat="1" applyFont="1" applyFill="1" applyBorder="1" applyAlignment="1">
      <alignment horizontal="center" vertical="center" wrapText="1"/>
    </xf>
    <xf numFmtId="2" fontId="134" fillId="44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5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6" fontId="119" fillId="0" borderId="73" xfId="1450" applyNumberFormat="1" applyFont="1" applyBorder="1" applyAlignment="1">
      <alignment horizontal="left" vertical="center"/>
    </xf>
    <xf numFmtId="206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18" xfId="0" applyFont="1" applyFill="1" applyBorder="1" applyAlignment="1">
      <alignment horizontal="center" vertical="center" wrapText="1"/>
    </xf>
    <xf numFmtId="0" fontId="114" fillId="33" borderId="0" xfId="0" applyFont="1" applyFill="1" applyBorder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0.94777820190168949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2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2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73958</xdr:colOff>
      <xdr:row>27</xdr:row>
      <xdr:rowOff>50986</xdr:rowOff>
    </xdr:from>
    <xdr:to>
      <xdr:col>13</xdr:col>
      <xdr:colOff>73958</xdr:colOff>
      <xdr:row>33</xdr:row>
      <xdr:rowOff>136152</xdr:rowOff>
    </xdr:to>
    <xdr:sp macro="" textlink="">
      <xdr:nvSpPr>
        <xdr:cNvPr id="307" name="Freeform 306"/>
        <xdr:cNvSpPr/>
      </xdr:nvSpPr>
      <xdr:spPr>
        <a:xfrm flipH="1">
          <a:off x="4578723" y="4286810"/>
          <a:ext cx="0" cy="1015254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342899</xdr:colOff>
      <xdr:row>26</xdr:row>
      <xdr:rowOff>90432</xdr:rowOff>
    </xdr:from>
    <xdr:to>
      <xdr:col>17</xdr:col>
      <xdr:colOff>347381</xdr:colOff>
      <xdr:row>26</xdr:row>
      <xdr:rowOff>90432</xdr:rowOff>
    </xdr:to>
    <xdr:sp macro="" textlink="">
      <xdr:nvSpPr>
        <xdr:cNvPr id="336" name="Freeform 335"/>
        <xdr:cNvSpPr/>
      </xdr:nvSpPr>
      <xdr:spPr>
        <a:xfrm flipV="1">
          <a:off x="4466664" y="4169373"/>
          <a:ext cx="1909482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269438</xdr:colOff>
      <xdr:row>16</xdr:row>
      <xdr:rowOff>84042</xdr:rowOff>
    </xdr:from>
    <xdr:to>
      <xdr:col>16</xdr:col>
      <xdr:colOff>0</xdr:colOff>
      <xdr:row>20</xdr:row>
      <xdr:rowOff>17370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4774203" y="2594160"/>
          <a:ext cx="873562" cy="56085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9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HERI 41.5</a:t>
          </a:r>
          <a:r>
            <a:rPr lang="en-US" sz="9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- 82.5 </a:t>
          </a:r>
          <a:r>
            <a:rPr lang="en-US" sz="9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KVA</a:t>
          </a:r>
        </a:p>
        <a:p>
          <a:pPr algn="ctr"/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198967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2891153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840319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312388</xdr:colOff>
      <xdr:row>28</xdr:row>
      <xdr:rowOff>141108</xdr:rowOff>
    </xdr:from>
    <xdr:to>
      <xdr:col>9</xdr:col>
      <xdr:colOff>63370</xdr:colOff>
      <xdr:row>29</xdr:row>
      <xdr:rowOff>126787</xdr:rowOff>
    </xdr:to>
    <xdr:sp macro="" textlink="">
      <xdr:nvSpPr>
        <xdr:cNvPr id="407" name="Isosceles Triangle 406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2912153" y="4533814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42998</xdr:colOff>
      <xdr:row>23</xdr:row>
      <xdr:rowOff>112260</xdr:rowOff>
    </xdr:from>
    <xdr:to>
      <xdr:col>12</xdr:col>
      <xdr:colOff>194085</xdr:colOff>
      <xdr:row>24</xdr:row>
      <xdr:rowOff>96051</xdr:rowOff>
    </xdr:to>
    <xdr:grpSp>
      <xdr:nvGrpSpPr>
        <xdr:cNvPr id="408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166763" y="3720554"/>
          <a:ext cx="151087" cy="1406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9" name="Oval 408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409" idx="1"/>
            <a:endCxn id="4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Connector 410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409" idx="3"/>
            <a:endCxn id="4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222951</xdr:colOff>
      <xdr:row>29</xdr:row>
      <xdr:rowOff>110218</xdr:rowOff>
    </xdr:from>
    <xdr:to>
      <xdr:col>9</xdr:col>
      <xdr:colOff>375351</xdr:colOff>
      <xdr:row>30</xdr:row>
      <xdr:rowOff>102493</xdr:rowOff>
    </xdr:to>
    <xdr:grpSp>
      <xdr:nvGrpSpPr>
        <xdr:cNvPr id="4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203716" y="4659806"/>
          <a:ext cx="152400" cy="137952"/>
          <a:chOff x="3725636" y="1945820"/>
          <a:chExt cx="153760" cy="144237"/>
        </a:xfrm>
        <a:noFill/>
      </xdr:grpSpPr>
      <xdr:sp macro="" textlink="">
        <xdr:nvSpPr>
          <xdr:cNvPr id="413" name="Oval 4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413" idx="1"/>
            <a:endCxn id="4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413" idx="3"/>
            <a:endCxn id="4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17927</xdr:colOff>
      <xdr:row>29</xdr:row>
      <xdr:rowOff>122143</xdr:rowOff>
    </xdr:from>
    <xdr:to>
      <xdr:col>12</xdr:col>
      <xdr:colOff>169014</xdr:colOff>
      <xdr:row>30</xdr:row>
      <xdr:rowOff>117140</xdr:rowOff>
    </xdr:to>
    <xdr:grpSp>
      <xdr:nvGrpSpPr>
        <xdr:cNvPr id="416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4141692" y="4671731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17" name="Oval 416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8" name="Straight Connector 417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417" idx="1"/>
            <a:endCxn id="4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9" name="Straight Connector 418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417" idx="3"/>
            <a:endCxn id="4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96945</xdr:colOff>
      <xdr:row>28</xdr:row>
      <xdr:rowOff>149781</xdr:rowOff>
    </xdr:from>
    <xdr:to>
      <xdr:col>9</xdr:col>
      <xdr:colOff>228927</xdr:colOff>
      <xdr:row>29</xdr:row>
      <xdr:rowOff>135460</xdr:rowOff>
    </xdr:to>
    <xdr:sp macro="" textlink="">
      <xdr:nvSpPr>
        <xdr:cNvPr id="420" name="Isosceles Triangle 41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077710" y="4542487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20741</xdr:colOff>
      <xdr:row>28</xdr:row>
      <xdr:rowOff>152026</xdr:rowOff>
    </xdr:from>
    <xdr:to>
      <xdr:col>9</xdr:col>
      <xdr:colOff>152723</xdr:colOff>
      <xdr:row>29</xdr:row>
      <xdr:rowOff>137705</xdr:rowOff>
    </xdr:to>
    <xdr:sp macro="" textlink="">
      <xdr:nvSpPr>
        <xdr:cNvPr id="421" name="Isosceles Triangle 42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001506" y="4544732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112059</xdr:colOff>
      <xdr:row>14</xdr:row>
      <xdr:rowOff>95811</xdr:rowOff>
    </xdr:from>
    <xdr:to>
      <xdr:col>8</xdr:col>
      <xdr:colOff>112059</xdr:colOff>
      <xdr:row>43</xdr:row>
      <xdr:rowOff>129429</xdr:rowOff>
    </xdr:to>
    <xdr:sp macro="" textlink="">
      <xdr:nvSpPr>
        <xdr:cNvPr id="422" name="Freeform 421"/>
        <xdr:cNvSpPr/>
      </xdr:nvSpPr>
      <xdr:spPr>
        <a:xfrm>
          <a:off x="2711824" y="2292164"/>
          <a:ext cx="0" cy="457200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179293</xdr:colOff>
      <xdr:row>33</xdr:row>
      <xdr:rowOff>39780</xdr:rowOff>
    </xdr:from>
    <xdr:to>
      <xdr:col>17</xdr:col>
      <xdr:colOff>134469</xdr:colOff>
      <xdr:row>33</xdr:row>
      <xdr:rowOff>39780</xdr:rowOff>
    </xdr:to>
    <xdr:sp macro="" textlink="">
      <xdr:nvSpPr>
        <xdr:cNvPr id="423" name="Freeform 422"/>
        <xdr:cNvSpPr/>
      </xdr:nvSpPr>
      <xdr:spPr>
        <a:xfrm>
          <a:off x="2779058" y="5205692"/>
          <a:ext cx="3384176" cy="0"/>
        </a:xfrm>
        <a:custGeom>
          <a:avLst/>
          <a:gdLst>
            <a:gd name="connsiteX0" fmla="*/ 3384176 w 3384176"/>
            <a:gd name="connsiteY0" fmla="*/ 0 h 11206"/>
            <a:gd name="connsiteX1" fmla="*/ 0 w 3384176"/>
            <a:gd name="connsiteY1" fmla="*/ 11206 h 112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384176" h="11206">
              <a:moveTo>
                <a:pt x="3384176" y="0"/>
              </a:moveTo>
              <a:lnTo>
                <a:pt x="0" y="11206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181531</xdr:colOff>
      <xdr:row>23</xdr:row>
      <xdr:rowOff>95249</xdr:rowOff>
    </xdr:from>
    <xdr:to>
      <xdr:col>14</xdr:col>
      <xdr:colOff>332618</xdr:colOff>
      <xdr:row>24</xdr:row>
      <xdr:rowOff>79041</xdr:rowOff>
    </xdr:to>
    <xdr:grpSp>
      <xdr:nvGrpSpPr>
        <xdr:cNvPr id="424" name="Group 2">
          <a:extLst>
            <a:ext uri="{FF2B5EF4-FFF2-40B4-BE49-F238E27FC236}">
              <a16:creationId xmlns:a16="http://schemas.microsoft.com/office/drawing/2014/main" id="{1B5B4559-D5F0-4C38-99B5-94D33896A45D}"/>
            </a:ext>
          </a:extLst>
        </xdr:cNvPr>
        <xdr:cNvGrpSpPr>
          <a:grpSpLocks/>
        </xdr:cNvGrpSpPr>
      </xdr:nvGrpSpPr>
      <xdr:grpSpPr bwMode="auto">
        <a:xfrm>
          <a:off x="5067296" y="3703543"/>
          <a:ext cx="151087" cy="1406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25" name="Oval 424">
            <a:extLst>
              <a:ext uri="{FF2B5EF4-FFF2-40B4-BE49-F238E27FC236}">
                <a16:creationId xmlns:a16="http://schemas.microsoft.com/office/drawing/2014/main" id="{D830DDC7-1E98-4F2C-A37D-AF832A8308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26" name="Straight Connector 425">
            <a:extLst>
              <a:ext uri="{FF2B5EF4-FFF2-40B4-BE49-F238E27FC236}">
                <a16:creationId xmlns:a16="http://schemas.microsoft.com/office/drawing/2014/main" id="{B2051586-B03A-41D8-9556-898A30856C1D}"/>
              </a:ext>
            </a:extLst>
          </xdr:cNvPr>
          <xdr:cNvCxnSpPr>
            <a:stCxn id="425" idx="1"/>
            <a:endCxn id="4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7" name="Straight Connector 426">
            <a:extLst>
              <a:ext uri="{FF2B5EF4-FFF2-40B4-BE49-F238E27FC236}">
                <a16:creationId xmlns:a16="http://schemas.microsoft.com/office/drawing/2014/main" id="{37450A11-5671-43BD-A8A4-540D1940E7F7}"/>
              </a:ext>
            </a:extLst>
          </xdr:cNvPr>
          <xdr:cNvCxnSpPr>
            <a:stCxn id="425" idx="3"/>
            <a:endCxn id="4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283270</xdr:colOff>
      <xdr:row>29</xdr:row>
      <xdr:rowOff>62223</xdr:rowOff>
    </xdr:from>
    <xdr:to>
      <xdr:col>11</xdr:col>
      <xdr:colOff>22586</xdr:colOff>
      <xdr:row>30</xdr:row>
      <xdr:rowOff>25260</xdr:rowOff>
    </xdr:to>
    <xdr:grpSp>
      <xdr:nvGrpSpPr>
        <xdr:cNvPr id="428" name="Group 427"/>
        <xdr:cNvGrpSpPr/>
      </xdr:nvGrpSpPr>
      <xdr:grpSpPr>
        <a:xfrm>
          <a:off x="3645035" y="4611811"/>
          <a:ext cx="120316" cy="108714"/>
          <a:chOff x="4552393" y="5147729"/>
          <a:chExt cx="228791" cy="193248"/>
        </a:xfrm>
      </xdr:grpSpPr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0" name="Straight Connector 42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1" name="Straight Connector 43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2" name="Straight Connector 43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312505</xdr:colOff>
      <xdr:row>29</xdr:row>
      <xdr:rowOff>119213</xdr:rowOff>
    </xdr:from>
    <xdr:to>
      <xdr:col>12</xdr:col>
      <xdr:colOff>107289</xdr:colOff>
      <xdr:row>29</xdr:row>
      <xdr:rowOff>119213</xdr:rowOff>
    </xdr:to>
    <xdr:cxnSp macro="">
      <xdr:nvCxnSpPr>
        <xdr:cNvPr id="433" name="Straight Connector 432"/>
        <xdr:cNvCxnSpPr/>
      </xdr:nvCxnSpPr>
      <xdr:spPr>
        <a:xfrm flipH="1" flipV="1">
          <a:off x="3293270" y="4668801"/>
          <a:ext cx="937784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61680</xdr:colOff>
      <xdr:row>23</xdr:row>
      <xdr:rowOff>140633</xdr:rowOff>
    </xdr:from>
    <xdr:to>
      <xdr:col>12</xdr:col>
      <xdr:colOff>61680</xdr:colOff>
      <xdr:row>29</xdr:row>
      <xdr:rowOff>113739</xdr:rowOff>
    </xdr:to>
    <xdr:cxnSp macro="">
      <xdr:nvCxnSpPr>
        <xdr:cNvPr id="434" name="Straight Connector 433"/>
        <xdr:cNvCxnSpPr/>
      </xdr:nvCxnSpPr>
      <xdr:spPr>
        <a:xfrm flipV="1">
          <a:off x="4185445" y="3748927"/>
          <a:ext cx="0" cy="9144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121905</xdr:colOff>
      <xdr:row>23</xdr:row>
      <xdr:rowOff>91358</xdr:rowOff>
    </xdr:from>
    <xdr:to>
      <xdr:col>13</xdr:col>
      <xdr:colOff>242221</xdr:colOff>
      <xdr:row>24</xdr:row>
      <xdr:rowOff>43190</xdr:rowOff>
    </xdr:to>
    <xdr:grpSp>
      <xdr:nvGrpSpPr>
        <xdr:cNvPr id="435" name="Group 434"/>
        <xdr:cNvGrpSpPr/>
      </xdr:nvGrpSpPr>
      <xdr:grpSpPr>
        <a:xfrm>
          <a:off x="4626670" y="3699652"/>
          <a:ext cx="120316" cy="108714"/>
          <a:chOff x="4552393" y="5147729"/>
          <a:chExt cx="228791" cy="193248"/>
        </a:xfrm>
      </xdr:grpSpPr>
      <xdr:cxnSp macro="">
        <xdr:nvCxnSpPr>
          <xdr:cNvPr id="436" name="Straight Connector 43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7" name="Straight Connector 43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9" name="Straight Connector 43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881</xdr:colOff>
      <xdr:row>25</xdr:row>
      <xdr:rowOff>71188</xdr:rowOff>
    </xdr:from>
    <xdr:to>
      <xdr:col>12</xdr:col>
      <xdr:colOff>121197</xdr:colOff>
      <xdr:row>26</xdr:row>
      <xdr:rowOff>23020</xdr:rowOff>
    </xdr:to>
    <xdr:grpSp>
      <xdr:nvGrpSpPr>
        <xdr:cNvPr id="440" name="Group 439"/>
        <xdr:cNvGrpSpPr/>
      </xdr:nvGrpSpPr>
      <xdr:grpSpPr>
        <a:xfrm>
          <a:off x="4124646" y="3993247"/>
          <a:ext cx="120316" cy="108714"/>
          <a:chOff x="4552393" y="5147729"/>
          <a:chExt cx="228791" cy="193248"/>
        </a:xfrm>
      </xdr:grpSpPr>
      <xdr:cxnSp macro="">
        <xdr:nvCxnSpPr>
          <xdr:cNvPr id="441" name="Straight Connector 44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2" name="Straight Connector 44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246529</xdr:colOff>
      <xdr:row>27</xdr:row>
      <xdr:rowOff>118222</xdr:rowOff>
    </xdr:from>
    <xdr:to>
      <xdr:col>7</xdr:col>
      <xdr:colOff>336176</xdr:colOff>
      <xdr:row>32</xdr:row>
      <xdr:rowOff>112058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1322294" y="4354046"/>
          <a:ext cx="1232647" cy="7670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k2-603/380</a:t>
          </a:r>
        </a:p>
        <a:p>
          <a:r>
            <a:rPr lang="en-US" sz="1000" strike="noStrike" baseline="0">
              <a:solidFill>
                <a:sysClr val="windowText" lastClr="000000"/>
              </a:solidFill>
            </a:rPr>
            <a:t>1 CG312 50KVA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312 100 KVA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106316</xdr:colOff>
      <xdr:row>23</xdr:row>
      <xdr:rowOff>114733</xdr:rowOff>
    </xdr:from>
    <xdr:to>
      <xdr:col>14</xdr:col>
      <xdr:colOff>258716</xdr:colOff>
      <xdr:row>23</xdr:row>
      <xdr:rowOff>114733</xdr:rowOff>
    </xdr:to>
    <xdr:cxnSp macro="">
      <xdr:nvCxnSpPr>
        <xdr:cNvPr id="447" name="Straight Connector 446"/>
        <xdr:cNvCxnSpPr/>
      </xdr:nvCxnSpPr>
      <xdr:spPr>
        <a:xfrm flipH="1" flipV="1">
          <a:off x="4230081" y="3723027"/>
          <a:ext cx="914400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341640</xdr:colOff>
      <xdr:row>30</xdr:row>
      <xdr:rowOff>103526</xdr:rowOff>
    </xdr:from>
    <xdr:to>
      <xdr:col>12</xdr:col>
      <xdr:colOff>136424</xdr:colOff>
      <xdr:row>30</xdr:row>
      <xdr:rowOff>103526</xdr:rowOff>
    </xdr:to>
    <xdr:cxnSp macro="">
      <xdr:nvCxnSpPr>
        <xdr:cNvPr id="448" name="Straight Connector 447"/>
        <xdr:cNvCxnSpPr/>
      </xdr:nvCxnSpPr>
      <xdr:spPr>
        <a:xfrm flipH="1" flipV="1">
          <a:off x="3322405" y="4798791"/>
          <a:ext cx="937784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281127</xdr:colOff>
      <xdr:row>25</xdr:row>
      <xdr:rowOff>73399</xdr:rowOff>
    </xdr:from>
    <xdr:to>
      <xdr:col>9</xdr:col>
      <xdr:colOff>281127</xdr:colOff>
      <xdr:row>32</xdr:row>
      <xdr:rowOff>99047</xdr:rowOff>
    </xdr:to>
    <xdr:cxnSp macro="">
      <xdr:nvCxnSpPr>
        <xdr:cNvPr id="449" name="Straight Connector 448"/>
        <xdr:cNvCxnSpPr/>
      </xdr:nvCxnSpPr>
      <xdr:spPr>
        <a:xfrm flipH="1">
          <a:off x="3261892" y="3995458"/>
          <a:ext cx="0" cy="111261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164587</xdr:colOff>
      <xdr:row>24</xdr:row>
      <xdr:rowOff>75450</xdr:rowOff>
    </xdr:from>
    <xdr:to>
      <xdr:col>12</xdr:col>
      <xdr:colOff>164587</xdr:colOff>
      <xdr:row>30</xdr:row>
      <xdr:rowOff>116976</xdr:rowOff>
    </xdr:to>
    <xdr:cxnSp macro="">
      <xdr:nvCxnSpPr>
        <xdr:cNvPr id="450" name="Straight Connector 449"/>
        <xdr:cNvCxnSpPr>
          <a:stCxn id="409" idx="5"/>
        </xdr:cNvCxnSpPr>
      </xdr:nvCxnSpPr>
      <xdr:spPr>
        <a:xfrm flipH="1">
          <a:off x="4288352" y="3840626"/>
          <a:ext cx="0" cy="9716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135452</xdr:colOff>
      <xdr:row>24</xdr:row>
      <xdr:rowOff>58440</xdr:rowOff>
    </xdr:from>
    <xdr:to>
      <xdr:col>14</xdr:col>
      <xdr:colOff>310492</xdr:colOff>
      <xdr:row>24</xdr:row>
      <xdr:rowOff>58440</xdr:rowOff>
    </xdr:to>
    <xdr:cxnSp macro="">
      <xdr:nvCxnSpPr>
        <xdr:cNvPr id="451" name="Straight Connector 450"/>
        <xdr:cNvCxnSpPr>
          <a:stCxn id="425" idx="5"/>
        </xdr:cNvCxnSpPr>
      </xdr:nvCxnSpPr>
      <xdr:spPr>
        <a:xfrm flipH="1">
          <a:off x="4259217" y="3823616"/>
          <a:ext cx="93704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257075</xdr:colOff>
      <xdr:row>20</xdr:row>
      <xdr:rowOff>12886</xdr:rowOff>
    </xdr:from>
    <xdr:to>
      <xdr:col>14</xdr:col>
      <xdr:colOff>270110</xdr:colOff>
      <xdr:row>23</xdr:row>
      <xdr:rowOff>95249</xdr:rowOff>
    </xdr:to>
    <xdr:cxnSp macro="">
      <xdr:nvCxnSpPr>
        <xdr:cNvPr id="454" name="Straight Connector 453"/>
        <xdr:cNvCxnSpPr>
          <a:stCxn id="425" idx="0"/>
        </xdr:cNvCxnSpPr>
      </xdr:nvCxnSpPr>
      <xdr:spPr>
        <a:xfrm flipV="1">
          <a:off x="5142840" y="3150533"/>
          <a:ext cx="13035" cy="55301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190499</xdr:colOff>
      <xdr:row>21</xdr:row>
      <xdr:rowOff>17369</xdr:rowOff>
    </xdr:from>
    <xdr:to>
      <xdr:col>14</xdr:col>
      <xdr:colOff>310815</xdr:colOff>
      <xdr:row>21</xdr:row>
      <xdr:rowOff>126083</xdr:rowOff>
    </xdr:to>
    <xdr:grpSp>
      <xdr:nvGrpSpPr>
        <xdr:cNvPr id="455" name="Group 454"/>
        <xdr:cNvGrpSpPr/>
      </xdr:nvGrpSpPr>
      <xdr:grpSpPr>
        <a:xfrm>
          <a:off x="5076264" y="3311898"/>
          <a:ext cx="120316" cy="108714"/>
          <a:chOff x="4552393" y="5147729"/>
          <a:chExt cx="228791" cy="193248"/>
        </a:xfrm>
      </xdr:grpSpPr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313764</xdr:colOff>
      <xdr:row>30</xdr:row>
      <xdr:rowOff>56030</xdr:rowOff>
    </xdr:from>
    <xdr:to>
      <xdr:col>9</xdr:col>
      <xdr:colOff>64746</xdr:colOff>
      <xdr:row>31</xdr:row>
      <xdr:rowOff>41709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2913529" y="4751295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96370</xdr:colOff>
      <xdr:row>30</xdr:row>
      <xdr:rowOff>51548</xdr:rowOff>
    </xdr:from>
    <xdr:to>
      <xdr:col>9</xdr:col>
      <xdr:colOff>228352</xdr:colOff>
      <xdr:row>31</xdr:row>
      <xdr:rowOff>37227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077135" y="474681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13446</xdr:colOff>
      <xdr:row>30</xdr:row>
      <xdr:rowOff>35859</xdr:rowOff>
    </xdr:from>
    <xdr:to>
      <xdr:col>9</xdr:col>
      <xdr:colOff>145428</xdr:colOff>
      <xdr:row>31</xdr:row>
      <xdr:rowOff>21538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2994211" y="4731124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291353</xdr:colOff>
      <xdr:row>28</xdr:row>
      <xdr:rowOff>67235</xdr:rowOff>
    </xdr:from>
    <xdr:to>
      <xdr:col>9</xdr:col>
      <xdr:colOff>228927</xdr:colOff>
      <xdr:row>29</xdr:row>
      <xdr:rowOff>135460</xdr:rowOff>
    </xdr:to>
    <xdr:cxnSp macro="">
      <xdr:nvCxnSpPr>
        <xdr:cNvPr id="9" name="Straight Connector 8"/>
        <xdr:cNvCxnSpPr>
          <a:endCxn id="420" idx="4"/>
        </xdr:cNvCxnSpPr>
      </xdr:nvCxnSpPr>
      <xdr:spPr>
        <a:xfrm>
          <a:off x="2891118" y="4459941"/>
          <a:ext cx="318574" cy="22510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235323</xdr:colOff>
      <xdr:row>28</xdr:row>
      <xdr:rowOff>56029</xdr:rowOff>
    </xdr:from>
    <xdr:to>
      <xdr:col>9</xdr:col>
      <xdr:colOff>280147</xdr:colOff>
      <xdr:row>29</xdr:row>
      <xdr:rowOff>134471</xdr:rowOff>
    </xdr:to>
    <xdr:cxnSp macro="">
      <xdr:nvCxnSpPr>
        <xdr:cNvPr id="463" name="Straight Connector 462"/>
        <xdr:cNvCxnSpPr/>
      </xdr:nvCxnSpPr>
      <xdr:spPr>
        <a:xfrm flipV="1">
          <a:off x="2835088" y="4448735"/>
          <a:ext cx="425824" cy="2353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291353</xdr:colOff>
      <xdr:row>29</xdr:row>
      <xdr:rowOff>78442</xdr:rowOff>
    </xdr:from>
    <xdr:to>
      <xdr:col>7</xdr:col>
      <xdr:colOff>56029</xdr:colOff>
      <xdr:row>29</xdr:row>
      <xdr:rowOff>78443</xdr:rowOff>
    </xdr:to>
    <xdr:cxnSp macro="">
      <xdr:nvCxnSpPr>
        <xdr:cNvPr id="464" name="Straight Connector 463"/>
        <xdr:cNvCxnSpPr/>
      </xdr:nvCxnSpPr>
      <xdr:spPr>
        <a:xfrm flipV="1">
          <a:off x="1367118" y="4628030"/>
          <a:ext cx="907676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331034</xdr:colOff>
      <xdr:row>20</xdr:row>
      <xdr:rowOff>42022</xdr:rowOff>
    </xdr:from>
    <xdr:to>
      <xdr:col>14</xdr:col>
      <xdr:colOff>344069</xdr:colOff>
      <xdr:row>23</xdr:row>
      <xdr:rowOff>124385</xdr:rowOff>
    </xdr:to>
    <xdr:cxnSp macro="">
      <xdr:nvCxnSpPr>
        <xdr:cNvPr id="130" name="Straight Connector 129"/>
        <xdr:cNvCxnSpPr/>
      </xdr:nvCxnSpPr>
      <xdr:spPr>
        <a:xfrm flipV="1">
          <a:off x="5216799" y="3179669"/>
          <a:ext cx="13035" cy="55301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298075</xdr:colOff>
      <xdr:row>22</xdr:row>
      <xdr:rowOff>12886</xdr:rowOff>
    </xdr:from>
    <xdr:to>
      <xdr:col>15</xdr:col>
      <xdr:colOff>37391</xdr:colOff>
      <xdr:row>22</xdr:row>
      <xdr:rowOff>121600</xdr:rowOff>
    </xdr:to>
    <xdr:grpSp>
      <xdr:nvGrpSpPr>
        <xdr:cNvPr id="131" name="Group 130"/>
        <xdr:cNvGrpSpPr/>
      </xdr:nvGrpSpPr>
      <xdr:grpSpPr>
        <a:xfrm>
          <a:off x="5183840" y="3464298"/>
          <a:ext cx="120316" cy="108714"/>
          <a:chOff x="4552393" y="5147729"/>
          <a:chExt cx="228791" cy="193248"/>
        </a:xfrm>
      </xdr:grpSpPr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82.5 kVA MCCB 125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100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SUMIFS(RAB!$F$14:$F$51,RAB!$C$14:$C$51,C714)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SUMIFS(RAB!$F$14:$F$51,RAB!$C$14:$C$51,C715)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SUMIFS(RAB!$F$14:$F$51,RAB!$C$14:$C$51,C716)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SUMIFS(RAB!$F$14:$F$51,RAB!$C$14:$C$51,C717)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SUMIFS(RAB!$F$14:$F$51,RAB!$C$14:$C$51,C718)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SUMIFS(RAB!$F$14:$F$51,RAB!$C$14:$C$51,C719)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SUMIFS(RAB!$F$14:$F$51,RAB!$C$14:$C$51,C720)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SUMIFS(RAB!$F$14:$F$51,RAB!$C$14:$C$51,C721)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SUMIFS(RAB!$F$14:$F$51,RAB!$C$14:$C$51,C722)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SUMIFS(RAB!$F$14:$F$51,RAB!$C$14:$C$51,C723)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SUMIFS(RAB!$F$14:$F$51,RAB!$C$14:$C$51,C724)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SUMIFS(RAB!$F$14:$F$51,RAB!$C$14:$C$51,C725)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SUMIFS(RAB!$F$14:$F$51,RAB!$C$14:$C$51,C726)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SUMIFS(RAB!$F$14:$F$51,RAB!$C$14:$C$51,C727)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SUMIFS(RAB!$F$14:$F$51,RAB!$C$14:$C$51,C728)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SUMIFS(RAB!$F$14:$F$51,RAB!$C$14:$C$51,C729)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SUMIFS(RAB!$F$14:$F$51,RAB!$C$14:$C$51,C730)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SUMIFS(RAB!$F$14:$F$51,RAB!$C$14:$C$51,C731)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SUMIFS(RAB!$F$14:$F$51,RAB!$C$14:$C$51,C732)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SUMIFS(RAB!$F$14:$F$51,RAB!$C$14:$C$51,C733)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SUMIFS(RAB!$F$14:$F$51,RAB!$C$14:$C$51,C734)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SUMIFS(RAB!$F$14:$F$51,RAB!$C$14:$C$51,C735)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SUMIFS(RAB!$F$14:$F$51,RAB!$C$14:$C$51,C736)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SUMIFS(RAB!$F$14:$F$51,RAB!$C$14:$C$51,C737)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SUMIFS(RAB!$F$14:$F$51,RAB!$C$14:$C$51,C738)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SUMIFS(RAB!$F$14:$F$51,RAB!$C$14:$C$51,C739)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SUMIFS(RAB!$F$14:$F$51,RAB!$C$14:$C$51,C740)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SUMIFS(RAB!$F$14:$F$51,RAB!$C$14:$C$51,C741)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SUMIFS(RAB!$F$14:$F$51,RAB!$C$14:$C$51,C742)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SUMIFS(RAB!$F$14:$F$51,RAB!$C$14:$C$51,C743)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SUMIFS(RAB!$F$14:$F$51,RAB!$C$14:$C$51,C744)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SUMIFS(RAB!$F$14:$F$51,RAB!$C$14:$C$51,C745)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SUMIFS(RAB!$F$14:$F$51,RAB!$C$14:$C$51,C746)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SUMIFS(RAB!$F$14:$F$51,RAB!$C$14:$C$51,C747)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SUMIFS(RAB!$F$14:$F$51,RAB!$C$14:$C$51,C748)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SUMIFS(RAB!$F$14:$F$51,RAB!$C$14:$C$51,C749)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SUMIFS(RAB!$F$14:$F$51,RAB!$C$14:$C$51,C750)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SUMIFS(RAB!$F$14:$F$51,RAB!$C$14:$C$51,C751)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SUMIFS(RAB!$F$14:$F$51,RAB!$C$14:$C$51,C752)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SUMIFS(RAB!$F$14:$F$51,RAB!$C$14:$C$51,C753)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SUMIFS(RAB!$F$14:$F$51,RAB!$C$14:$C$51,C754)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SUMIFS(RAB!$F$14:$F$51,RAB!$C$14:$C$51,C755)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SUMIFS(RAB!$F$14:$F$51,RAB!$C$14:$C$51,C756)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SUMIFS(RAB!$F$14:$F$51,RAB!$C$14:$C$51,C757)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SUMIFS(RAB!$F$14:$F$51,RAB!$C$14:$C$51,C758)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SUMIFS(RAB!$F$14:$F$51,RAB!$C$14:$C$51,C759)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SUMIFS(RAB!$F$14:$F$51,RAB!$C$14:$C$51,C760)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SUMIFS(RAB!$F$14:$F$51,RAB!$C$14:$C$51,C761)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SUMIFS(RAB!$F$14:$F$51,RAB!$C$14:$C$51,C762)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SUMIFS(RAB!$F$14:$F$51,RAB!$C$14:$C$51,C763)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SUMIFS(RAB!$F$14:$F$51,RAB!$C$14:$C$51,C764)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SUMIFS(RAB!$F$14:$F$51,RAB!$C$14:$C$51,C765)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SUMIFS(RAB!$F$14:$F$51,RAB!$C$14:$C$51,C766)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SUMIFS(RAB!$F$14:$F$51,RAB!$C$14:$C$51,C767)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SUMIFS(RAB!$F$14:$F$51,RAB!$C$14:$C$51,C768)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SUMIFS(RAB!$F$14:$F$51,RAB!$C$14:$C$51,C769)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SUMIFS(RAB!$F$14:$F$51,RAB!$C$14:$C$51,C770)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SUMIFS(RAB!$F$14:$F$51,RAB!$C$14:$C$51,C771)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SUMIFS(RAB!$F$14:$F$51,RAB!$C$14:$C$51,C772)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SUMIFS(RAB!$F$14:$F$51,RAB!$C$14:$C$51,C773)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SUMIFS(RAB!$F$14:$F$51,RAB!$C$14:$C$51,C774)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SUMIFS(RAB!$F$14:$F$51,RAB!$C$14:$C$51,C775)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SUMIFS(RAB!$F$14:$F$51,RAB!$C$14:$C$51,C776)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SUMIFS(RAB!$F$14:$F$51,RAB!$C$14:$C$51,C777)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SUMIFS(RAB!$F$14:$F$51,RAB!$C$14:$C$51,C778)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SUMIFS(RAB!$F$14:$F$51,RAB!$C$14:$C$51,C779)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SUMIFS(RAB!$F$14:$F$51,RAB!$C$14:$C$51,C780)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SUMIFS(RAB!$F$14:$F$51,RAB!$C$14:$C$51,C781)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SUMIFS(RAB!$F$14:$F$51,RAB!$C$14:$C$51,C782)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SUMIFS(RAB!$F$14:$F$51,RAB!$C$14:$C$51,C783)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SUMIFS(RAB!$F$14:$F$51,RAB!$C$14:$C$51,C784)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SUMIFS(RAB!$F$14:$F$51,RAB!$C$14:$C$51,C785)</f>
        <v>1</v>
      </c>
      <c r="E785" s="26">
        <f t="shared" ca="1" si="34"/>
        <v>1</v>
      </c>
      <c r="F785" s="26">
        <f ca="1">IF(D785=0,0,SUM($E$713:E785))</f>
        <v>2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SUMIFS(RAB!$F$14:$F$51,RAB!$C$14:$C$51,C786)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SUMIFS(RAB!$F$14:$F$51,RAB!$C$14:$C$51,C787)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SUMIFS(RAB!$F$14:$F$51,RAB!$C$14:$C$51,C788)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SUMIFS(RAB!$F$14:$F$51,RAB!$C$14:$C$51,C789)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SUMIFS(RAB!$F$14:$F$51,RAB!$C$14:$C$51,C790)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SUMIFS(RAB!$F$14:$F$51,RAB!$C$14:$C$51,C791)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SUMIFS(RAB!$F$14:$F$51,RAB!$C$14:$C$51,C792)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SUMIFS(RAB!$F$14:$F$51,RAB!$C$14:$C$51,C793)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SUMIFS(RAB!$F$14:$F$51,RAB!$C$14:$C$51,C794)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SUMIFS(RAB!$F$14:$F$51,RAB!$C$14:$C$51,C795)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SUMIFS(RAB!$F$14:$F$51,RAB!$C$14:$C$51,C796)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SUMIFS(RAB!$F$14:$F$51,RAB!$C$14:$C$51,C797)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SUMIFS(RAB!$F$14:$F$51,RAB!$C$14:$C$51,C798)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SUMIFS(RAB!$F$14:$F$51,RAB!$C$14:$C$51,C799)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SUMIFS(RAB!$F$14:$F$51,RAB!$C$14:$C$51,C800)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SUMIFS(RAB!$F$14:$F$51,RAB!$C$14:$C$51,C801)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SUMIFS(RAB!$F$14:$F$51,RAB!$C$14:$C$51,C802)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SUMIFS(RAB!$F$14:$F$51,RAB!$C$14:$C$51,C803)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SUMIFS(RAB!$F$14:$F$51,RAB!$C$14:$C$51,C804)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SUMIFS(RAB!$F$14:$F$51,RAB!$C$14:$C$51,C805)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SUMIFS(RAB!$F$14:$F$51,RAB!$C$14:$C$51,C806)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SUMIFS(RAB!$F$14:$F$51,RAB!$C$14:$C$51,C807)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SUMIFS(RAB!$F$14:$F$51,RAB!$C$14:$C$51,C808)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SUMIFS(RAB!$F$14:$F$51,RAB!$C$14:$C$51,C809)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SUMIFS(RAB!$F$14:$F$51,RAB!$C$14:$C$51,C810)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SUMIFS(RAB!$F$14:$F$51,RAB!$C$14:$C$51,C811)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SUMIFS(RAB!$F$14:$F$51,RAB!$C$14:$C$51,C812)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SUMIFS(RAB!$F$14:$F$51,RAB!$C$14:$C$51,C813)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SUMIFS(RAB!$F$14:$F$51,RAB!$C$14:$C$51,C814)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SUMIFS(RAB!$F$14:$F$51,RAB!$C$14:$C$51,C815)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SUMIFS(RAB!$F$14:$F$51,RAB!$C$14:$C$51,C816)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SUMIFS(RAB!$F$14:$F$51,RAB!$C$14:$C$51,C817)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SUMIFS(RAB!$F$14:$F$51,RAB!$C$14:$C$51,C818)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SUMIFS(RAB!$F$14:$F$51,RAB!$C$14:$C$51,C819)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SUMIFS(RAB!$F$14:$F$51,RAB!$C$14:$C$51,C820)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SUMIFS(RAB!$F$14:$F$51,RAB!$C$14:$C$51,C821)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SUMIFS(RAB!$F$14:$F$51,RAB!$C$14:$C$51,C822)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SUMIFS(RAB!$F$14:$F$51,RAB!$C$14:$C$51,C823)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SUMIFS(RAB!$F$14:$F$51,RAB!$C$14:$C$51,C824)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SUMIFS(RAB!$F$14:$F$51,RAB!$C$14:$C$51,C825)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SUMIFS(RAB!$F$14:$F$51,RAB!$C$14:$C$51,C826)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SUMIFS(RAB!$F$14:$F$51,RAB!$C$14:$C$51,C827)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SUMIFS(RAB!$F$14:$F$51,RAB!$C$14:$C$51,C828)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SUMIFS(RAB!$F$14:$F$51,RAB!$C$14:$C$51,C829)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SUMIFS(RAB!$F$14:$F$51,RAB!$C$14:$C$51,C830)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SUMIFS(RAB!$F$14:$F$51,RAB!$C$14:$C$51,C831)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SUMIFS(RAB!$F$14:$F$51,RAB!$C$14:$C$51,C832)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SUMIFS(RAB!$F$14:$F$51,RAB!$C$14:$C$51,C833)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SUMIFS(RAB!$F$14:$F$51,RAB!$C$14:$C$51,C834)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SUMIFS(RAB!$F$14:$F$51,RAB!$C$14:$C$51,C835)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SUMIFS(RAB!$F$14:$F$51,RAB!$C$14:$C$51,C836)</f>
        <v>100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SUMIFS(RAB!$F$14:$F$51,RAB!$C$14:$C$51,C837)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SUMIFS(RAB!$F$14:$F$51,RAB!$C$14:$C$51,C838)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SUMIFS(RAB!$F$14:$F$51,RAB!$C$14:$C$51,C839)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SUMIFS(RAB!$F$14:$F$51,RAB!$C$14:$C$51,C840)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SUMIFS(RAB!$F$14:$F$51,RAB!$C$14:$C$51,C841)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SUMIFS(RAB!$F$14:$F$51,RAB!$C$14:$C$51,C842)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SUMIFS(RAB!$F$14:$F$51,RAB!$C$14:$C$51,C843)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SUMIFS(RAB!$F$14:$F$51,RAB!$C$14:$C$51,C844)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SUMIFS(RAB!$F$14:$F$51,RAB!$C$14:$C$51,C845)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SUMIFS(RAB!$F$14:$F$51,RAB!$C$14:$C$51,C846)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SUMIFS(RAB!$F$14:$F$51,RAB!$C$14:$C$51,C847)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SUMIFS(RAB!$F$14:$F$51,RAB!$C$14:$C$51,C848)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SUMIFS(RAB!$F$14:$F$51,RAB!$C$14:$C$51,C849)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SUMIFS(RAB!$F$14:$F$51,RAB!$C$14:$C$51,C850)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SUMIFS(RAB!$F$14:$F$51,RAB!$C$14:$C$51,C851)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SUMIFS(RAB!$F$14:$F$51,RAB!$C$14:$C$51,C852)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SUMIFS(RAB!$F$14:$F$51,RAB!$C$14:$C$51,C853)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SUMIFS(RAB!$F$14:$F$51,RAB!$C$14:$C$51,C854)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SUMIFS(RAB!$F$14:$F$51,RAB!$C$14:$C$51,C855)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SUMIFS(RAB!$F$14:$F$51,RAB!$C$14:$C$51,C856)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SUMIFS(RAB!$F$14:$F$51,RAB!$C$14:$C$51,C857)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SUMIFS(RAB!$F$14:$F$51,RAB!$C$14:$C$51,C858)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SUMIFS(RAB!$F$14:$F$51,RAB!$C$14:$C$51,C859)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SUMIFS(RAB!$F$14:$F$51,RAB!$C$14:$C$51,C860)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SUMIFS(RAB!$F$14:$F$51,RAB!$C$14:$C$51,C861)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SUMIFS(RAB!$F$14:$F$51,RAB!$C$14:$C$51,C862)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SUMIFS(RAB!$F$14:$F$51,RAB!$C$14:$C$51,C863)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SUMIFS(RAB!$F$14:$F$51,RAB!$C$14:$C$51,C864)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SUMIFS(RAB!$F$14:$F$51,RAB!$C$14:$C$51,C865)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SUMIFS(RAB!$F$14:$F$51,RAB!$C$14:$C$51,C866)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SUMIFS(RAB!$F$14:$F$51,RAB!$C$14:$C$51,C867)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SUMIFS(RAB!$F$14:$F$51,RAB!$C$14:$C$51,C868)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SUMIFS(RAB!$F$14:$F$51,RAB!$C$14:$C$51,C869)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SUMIFS(RAB!$F$14:$F$51,RAB!$C$14:$C$51,C870)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SUMIFS(RAB!$F$14:$F$51,RAB!$C$14:$C$51,C871)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SUMIFS(RAB!$F$14:$F$51,RAB!$C$14:$C$51,C872)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SUMIFS(RAB!$F$14:$F$51,RAB!$C$14:$C$51,C873)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SUMIFS(RAB!$F$14:$F$51,RAB!$C$14:$C$51,C874)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SUMIFS(RAB!$F$14:$F$51,RAB!$C$14:$C$51,C875)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SUMIFS(RAB!$F$14:$F$51,RAB!$C$14:$C$51,C876)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SUMIFS(RAB!$F$14:$F$51,RAB!$C$14:$C$51,C877)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SUMIFS(RAB!$F$14:$F$51,RAB!$C$14:$C$51,C878)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SUMIFS(RAB!$F$14:$F$51,RAB!$C$14:$C$51,C879)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SUMIFS(RAB!$F$14:$F$51,RAB!$C$14:$C$51,C880)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SUMIFS(RAB!$F$14:$F$51,RAB!$C$14:$C$51,C881)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SUMIFS(RAB!$F$14:$F$51,RAB!$C$14:$C$51,C882)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SUMIFS(RAB!$F$14:$F$51,RAB!$C$14:$C$51,C883)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SUMIFS(RAB!$F$14:$F$51,RAB!$C$14:$C$51,C884)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SUMIFS(RAB!$F$14:$F$51,RAB!$C$14:$C$51,C885)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SUMIFS(RAB!$F$14:$F$51,RAB!$C$14:$C$51,C886)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SUMIFS(RAB!$F$14:$F$51,RAB!$C$14:$C$51,C887)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SUMIFS(RAB!$F$14:$F$51,RAB!$C$14:$C$51,C888)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SUMIFS(RAB!$F$14:$F$51,RAB!$C$14:$C$51,C889)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SUMIFS(RAB!$F$14:$F$51,RAB!$C$14:$C$51,C890)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SUMIFS(RAB!$F$14:$F$51,RAB!$C$14:$C$51,C891)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SUMIFS(RAB!$F$14:$F$51,RAB!$C$14:$C$51,C892)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SUMIFS(RAB!$F$14:$F$51,RAB!$C$14:$C$51,C893)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SUMIFS(RAB!$F$14:$F$51,RAB!$C$14:$C$51,C894)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SUMIFS(RAB!$F$14:$F$51,RAB!$C$14:$C$51,C895)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SUMIFS(RAB!$F$14:$F$51,RAB!$C$14:$C$51,C896)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SUMIFS(RAB!$F$14:$F$51,RAB!$C$14:$C$51,C897)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SUMIFS(RAB!$F$14:$F$51,RAB!$C$14:$C$51,C898)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SUMIFS(RAB!$F$14:$F$51,RAB!$C$14:$C$51,C899)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SUMIFS(RAB!$F$14:$F$51,RAB!$C$14:$C$51,C900)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SUMIFS(RAB!$F$14:$F$51,RAB!$C$14:$C$51,C901)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SUMIFS(RAB!$F$14:$F$51,RAB!$C$14:$C$51,C902)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SUMIFS(RAB!$F$14:$F$51,RAB!$C$14:$C$51,C903)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SUMIFS(RAB!$F$14:$F$51,RAB!$C$14:$C$51,C904)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SUMIFS(RAB!$F$14:$F$51,RAB!$C$14:$C$51,C905)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SUMIFS(RAB!$F$14:$F$51,RAB!$C$14:$C$51,C906)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SUMIFS(RAB!$F$14:$F$51,RAB!$C$14:$C$51,C907)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SUMIFS(RAB!$F$14:$F$51,RAB!$C$14:$C$51,C908)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SUMIFS(RAB!$F$14:$F$51,RAB!$C$14:$C$51,C909)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SUMIFS(RAB!$F$14:$F$51,RAB!$C$14:$C$51,C910)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SUMIFS(RAB!$F$14:$F$51,RAB!$C$14:$C$51,C911)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SUMIFS(RAB!$F$14:$F$51,RAB!$C$14:$C$51,C912)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SUMIFS(RAB!$F$14:$F$51,RAB!$C$14:$C$51,C913)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SUMIFS(RAB!$F$14:$F$51,RAB!$C$14:$C$51,C914)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SUMIFS(RAB!$F$14:$F$51,RAB!$C$14:$C$51,C915)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SUMIFS(RAB!$F$14:$F$51,RAB!$C$14:$C$51,C916)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SUMIFS(RAB!$F$14:$F$51,RAB!$C$14:$C$51,C917)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SUMIFS(RAB!$F$14:$F$51,RAB!$C$14:$C$51,C918)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SUMIFS(RAB!$F$14:$F$51,RAB!$C$14:$C$51,C919)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SUMIFS(RAB!$F$14:$F$51,RAB!$C$14:$C$51,C920)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SUMIFS(RAB!$F$14:$F$51,RAB!$C$14:$C$51,C921)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SUMIFS(RAB!$F$14:$F$51,RAB!$C$14:$C$51,C922)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SUMIFS(RAB!$F$14:$F$51,RAB!$C$14:$C$51,C923)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SUMIFS(RAB!$F$14:$F$51,RAB!$C$14:$C$51,C924)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SUMIFS(RAB!$F$14:$F$51,RAB!$C$14:$C$51,C925)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SUMIFS(RAB!$F$14:$F$51,RAB!$C$14:$C$51,C926)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SUMIFS(RAB!$F$14:$F$51,RAB!$C$14:$C$51,C927)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SUMIFS(RAB!$F$14:$F$51,RAB!$C$14:$C$51,C928)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SUMIFS(RAB!$F$14:$F$51,RAB!$C$14:$C$51,C929)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SUMIFS(RAB!$F$14:$F$51,RAB!$C$14:$C$51,C930)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SUMIFS(RAB!$F$14:$F$51,RAB!$C$14:$C$51,C931)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SUMIFS(RAB!$F$14:$F$51,RAB!$C$14:$C$51,C932)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SUMIFS(RAB!$F$14:$F$51,RAB!$C$14:$C$51,C933)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SUMIFS(RAB!$F$14:$F$51,RAB!$C$14:$C$51,C934)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SUMIFS(RAB!$F$14:$F$51,RAB!$C$14:$C$51,C935)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SUMIFS(RAB!$F$14:$F$51,RAB!$C$14:$C$51,C936)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SUMIFS(RAB!$F$14:$F$51,RAB!$C$14:$C$51,C937)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SUMIFS(RAB!$F$14:$F$51,RAB!$C$14:$C$51,C938)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SUMIFS(RAB!$F$14:$F$51,RAB!$C$14:$C$51,C939)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SUMIFS(RAB!$F$14:$F$51,RAB!$C$14:$C$51,C940)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SUMIFS(RAB!$F$14:$F$51,RAB!$C$14:$C$51,C941)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SUMIFS(RAB!$F$14:$F$51,RAB!$C$14:$C$51,C942)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SUMIFS(RAB!$F$14:$F$51,RAB!$C$14:$C$51,C943)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SUMIFS(RAB!$F$14:$F$51,RAB!$C$14:$C$51,C944)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SUMIFS(RAB!$F$14:$F$51,RAB!$C$14:$C$51,C945)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SUMIFS(RAB!$F$14:$F$51,RAB!$C$14:$C$51,C946)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SUMIFS(RAB!$F$14:$F$51,RAB!$C$14:$C$51,C947)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SUMIFS(RAB!$F$14:$F$51,RAB!$C$14:$C$51,C948)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SUMIFS(RAB!$F$14:$F$51,RAB!$C$14:$C$51,C949)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SUMIFS(RAB!$F$14:$F$51,RAB!$C$14:$C$51,C950)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SUMIFS(RAB!$F$14:$F$51,RAB!$C$14:$C$51,C951)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SUMIFS(RAB!$F$14:$F$51,RAB!$C$14:$C$51,C952)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SUMIFS(RAB!$F$14:$F$51,RAB!$C$14:$C$51,C953)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SUMIFS(RAB!$F$14:$F$51,RAB!$C$14:$C$51,C954)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SUMIFS(RAB!$F$14:$F$51,RAB!$C$14:$C$51,C955)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SUMIFS(RAB!$F$14:$F$51,RAB!$C$14:$C$51,C956)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SUMIFS(RAB!$F$14:$F$51,RAB!$C$14:$C$51,C957)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SUMIFS(RAB!$F$14:$F$51,RAB!$C$14:$C$51,C958)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SUMIFS(RAB!$F$14:$F$51,RAB!$C$14:$C$51,C959)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SUMIFS(RAB!$F$14:$F$51,RAB!$C$14:$C$51,C960)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SUMIFS(RAB!$F$14:$F$51,RAB!$C$14:$C$51,C961)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SUMIFS(RAB!$F$14:$F$51,RAB!$C$14:$C$51,C962)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SUMIFS(RAB!$F$14:$F$51,RAB!$C$14:$C$51,C963)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SUMIFS(RAB!$F$14:$F$51,RAB!$C$14:$C$51,C964)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SUMIFS(RAB!$F$14:$F$51,RAB!$C$14:$C$51,C965)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SUMIFS(RAB!$F$14:$F$51,RAB!$C$14:$C$51,C966)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SUMIFS(RAB!$F$14:$F$51,RAB!$C$14:$C$51,C967)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SUMIFS(RAB!$F$14:$F$51,RAB!$C$14:$C$51,C968)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SUMIFS(RAB!$F$14:$F$51,RAB!$C$14:$C$51,C969)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SUMIFS(RAB!$F$14:$F$51,RAB!$C$14:$C$51,C970)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SUMIFS(RAB!$F$14:$F$51,RAB!$C$14:$C$51,C971)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SUMIFS(RAB!$F$14:$F$51,RAB!$C$14:$C$51,C972)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SUMIFS(RAB!$F$14:$F$51,RAB!$C$14:$C$51,C973)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SUMIFS(RAB!$F$14:$F$51,RAB!$C$14:$C$51,C974)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SUMIFS(RAB!$F$14:$F$51,RAB!$C$14:$C$51,C975)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SUMIFS(RAB!$F$14:$F$51,RAB!$C$14:$C$51,C976)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SUMIFS(RAB!$F$14:$F$51,RAB!$C$14:$C$51,C977)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SUMIFS(RAB!$F$14:$F$51,RAB!$C$14:$C$51,C978)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SUMIFS(RAB!$F$14:$F$51,RAB!$C$14:$C$51,C979)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SUMIFS(RAB!$F$14:$F$51,RAB!$C$14:$C$51,C980)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SUMIFS(RAB!$F$14:$F$51,RAB!$C$14:$C$51,C981)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SUMIFS(RAB!$F$14:$F$51,RAB!$C$14:$C$51,C982)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SUMIFS(RAB!$F$14:$F$51,RAB!$C$14:$C$51,C983)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SUMIFS(RAB!$F$14:$F$51,RAB!$C$14:$C$51,C984)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SUMIFS(RAB!$F$14:$F$51,RAB!$C$14:$C$51,C985)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SUMIFS(RAB!$F$14:$F$51,RAB!$C$14:$C$51,C986)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SUMIFS(RAB!$F$14:$F$51,RAB!$C$14:$C$51,C987)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SUMIFS(RAB!$F$14:$F$51,RAB!$C$14:$C$51,C988)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SUMIFS(RAB!$F$14:$F$51,RAB!$C$14:$C$51,C989)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SUMIFS(RAB!$F$14:$F$51,RAB!$C$14:$C$51,C990)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SUMIFS(RAB!$F$14:$F$51,RAB!$C$14:$C$51,C991)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SUMIFS(RAB!$F$14:$F$51,RAB!$C$14:$C$51,C992)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SUMIFS(RAB!$F$14:$F$51,RAB!$C$14:$C$51,C993)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SUMIFS(RAB!$F$14:$F$51,RAB!$C$14:$C$51,C994)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SUMIFS(RAB!$F$14:$F$51,RAB!$C$14:$C$51,C995)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SUMIFS(RAB!$F$14:$F$51,RAB!$C$14:$C$51,C996)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SUMIFS(RAB!$F$14:$F$51,RAB!$C$14:$C$51,C997)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SUMIFS(RAB!$F$14:$F$51,RAB!$C$14:$C$51,C998)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SUMIFS(RAB!$F$14:$F$51,RAB!$C$14:$C$51,C999)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SUMIFS(RAB!$F$14:$F$51,RAB!$C$14:$C$51,C1000)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SUMIFS(RAB!$F$14:$F$51,RAB!$C$14:$C$51,C1001)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SUMIFS(RAB!$F$14:$F$51,RAB!$C$14:$C$51,C1002)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SUMIFS(RAB!$F$14:$F$51,RAB!$C$14:$C$51,C1003)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SUMIFS(RAB!$F$14:$F$51,RAB!$C$14:$C$51,C1004)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SUMIFS(RAB!$F$14:$F$51,RAB!$C$14:$C$51,C1005)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SUMIFS(RAB!$F$14:$F$51,RAB!$C$14:$C$51,C1006)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SUMIFS(RAB!$F$14:$F$51,RAB!$C$14:$C$51,C1007)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SUMIFS(RAB!$F$14:$F$51,RAB!$C$14:$C$51,C1008)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SUMIFS(RAB!$F$14:$F$51,RAB!$C$14:$C$51,C1009)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SUMIFS(RAB!$F$14:$F$51,RAB!$C$14:$C$51,C1010)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SUMIFS(RAB!$F$14:$F$51,RAB!$C$14:$C$51,C1011)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SUMIFS(RAB!$F$14:$F$51,RAB!$C$14:$C$51,C1012)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SUMIFS(RAB!$F$14:$F$51,RAB!$C$14:$C$51,C1013)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SUMIFS(RAB!$F$14:$F$51,RAB!$C$14:$C$51,C1014)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SUMIFS(RAB!$F$14:$F$51,RAB!$C$14:$C$51,C1015)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SUMIFS(RAB!$F$14:$F$51,RAB!$C$14:$C$51,C1016)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SUMIFS(RAB!$F$14:$F$51,RAB!$C$14:$C$51,C1017)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SUMIFS(RAB!$F$14:$F$51,RAB!$C$14:$C$51,C1018)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SUMIFS(RAB!$F$14:$F$51,RAB!$C$14:$C$51,C1019)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SUMIFS(RAB!$F$14:$F$51,RAB!$C$14:$C$51,C1020)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SUMIFS(RAB!$F$14:$F$51,RAB!$C$14:$C$51,C1021)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SUMIFS(RAB!$F$14:$F$51,RAB!$C$14:$C$51,C1022)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SUMIFS(RAB!$F$14:$F$51,RAB!$C$14:$C$51,C1023)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SUMIFS(RAB!$F$14:$F$51,RAB!$C$14:$C$51,C1024)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SUMIFS(RAB!$F$14:$F$51,RAB!$C$14:$C$51,C1025)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SUMIFS(RAB!$F$14:$F$51,RAB!$C$14:$C$51,C1026)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SUMIFS(RAB!$F$14:$F$51,RAB!$C$14:$C$51,C1027)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SUMIFS(RAB!$F$14:$F$51,RAB!$C$14:$C$51,C1028)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SUMIFS(RAB!$F$14:$F$51,RAB!$C$14:$C$51,C1029)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SUMIFS(RAB!$F$14:$F$51,RAB!$C$14:$C$51,C1030)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SUMIFS(RAB!$F$14:$F$51,RAB!$C$14:$C$51,C1031)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SUMIFS(RAB!$F$14:$F$51,RAB!$C$14:$C$51,C1032)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SUMIFS(RAB!$F$14:$F$51,RAB!$C$14:$C$51,C1033)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SUMIFS(RAB!$F$14:$F$51,RAB!$C$14:$C$51,C1034)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SUMIFS(RAB!$F$14:$F$51,RAB!$C$14:$C$51,C1035)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SUMIFS(RAB!$F$14:$F$51,RAB!$C$14:$C$51,C1036)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SUMIFS(RAB!$F$14:$F$51,RAB!$C$14:$C$51,C1037)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SUMIFS(RAB!$F$14:$F$51,RAB!$C$14:$C$51,C1038)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SUMIFS(RAB!$F$14:$F$51,RAB!$C$14:$C$51,C1039)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SUMIFS(RAB!$F$14:$F$51,RAB!$C$14:$C$51,C1040)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SUMIFS(RAB!$F$14:$F$51,RAB!$C$14:$C$51,C1041)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SUMIFS(RAB!$F$14:$F$51,RAB!$C$14:$C$51,C1042)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SUMIFS(RAB!$F$14:$F$51,RAB!$C$14:$C$51,C1043)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SUMIFS(RAB!$F$14:$F$51,RAB!$C$14:$C$51,C1044)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SUMIFS(RAB!$F$14:$F$51,RAB!$C$14:$C$51,C1045)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SUMIFS(RAB!$F$14:$F$51,RAB!$C$14:$C$51,C1046)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SUMIFS(RAB!$F$14:$F$51,RAB!$C$14:$C$51,C1047)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SUMIFS(RAB!$F$14:$F$51,RAB!$C$14:$C$51,C1048)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SUMIFS(RAB!$F$14:$F$51,RAB!$C$14:$C$51,C1049)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SUMIFS(RAB!$F$14:$F$51,RAB!$C$14:$C$51,C1050)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SUMIFS(RAB!$F$14:$F$51,RAB!$C$14:$C$51,C1051)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SUMIFS(RAB!$F$14:$F$51,RAB!$C$14:$C$51,C1052)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SUMIFS(RAB!$F$14:$F$51,RAB!$C$14:$C$51,C1053)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SUMIFS(RAB!$F$14:$F$51,RAB!$C$14:$C$51,C1054)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SUMIFS(RAB!$F$14:$F$51,RAB!$C$14:$C$51,C1055)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SUMIFS(RAB!$F$14:$F$51,RAB!$C$14:$C$51,C1056)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SUMIFS(RAB!$F$14:$F$51,RAB!$C$14:$C$51,C1057)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SUMIFS(RAB!$F$14:$F$51,RAB!$C$14:$C$51,C1058)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SUMIFS(RAB!$F$14:$F$51,RAB!$C$14:$C$51,C1059)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SUMIFS(RAB!$F$14:$F$51,RAB!$C$14:$C$51,C1060)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SUMIFS(RAB!$F$14:$F$51,RAB!$C$14:$C$51,C1061)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SUMIFS(RAB!$F$14:$F$51,RAB!$C$14:$C$51,C1062)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SUMIFS(RAB!$F$14:$F$51,RAB!$C$14:$C$51,C1063)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SUMIFS(RAB!$F$14:$F$51,RAB!$C$14:$C$51,C1064)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SUMIFS(RAB!$F$14:$F$51,RAB!$C$14:$C$51,C1065)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SUMIFS(RAB!$F$14:$F$51,RAB!$C$14:$C$51,C1066)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SUMIFS(RAB!$F$14:$F$51,RAB!$C$14:$C$51,C1067)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SUMIFS(RAB!$F$14:$F$51,RAB!$C$14:$C$51,C1068)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SUMIFS(RAB!$F$14:$F$51,RAB!$C$14:$C$51,C1069)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SUMIFS(RAB!$F$14:$F$51,RAB!$C$14:$C$51,C1070)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SUMIFS(RAB!$F$14:$F$51,RAB!$C$14:$C$51,C1071)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SUMIFS(RAB!$F$14:$F$51,RAB!$C$14:$C$51,C1072)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SUMIFS(RAB!$F$14:$F$51,RAB!$C$14:$C$51,C1073)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SUMIFS(RAB!$F$14:$F$51,RAB!$C$14:$C$51,C1074)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SUMIFS(RAB!$F$14:$F$51,RAB!$C$14:$C$51,C1075)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SUMIFS(RAB!$F$14:$F$51,RAB!$C$14:$C$51,C1076)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SUMIFS(RAB!$F$14:$F$51,RAB!$C$14:$C$51,C1077)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SUMIFS(RAB!$F$14:$F$51,RAB!$C$14:$C$51,C1078)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SUMIFS(RAB!$F$14:$F$51,RAB!$C$14:$C$51,C1079)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SUMIFS(RAB!$F$14:$F$51,RAB!$C$14:$C$51,C1080)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SUMIFS(RAB!$F$14:$F$51,RAB!$C$14:$C$51,C1081)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SUMIFS(RAB!$F$14:$F$51,RAB!$C$14:$C$51,C1082)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SUMIFS(RAB!$F$14:$F$51,RAB!$C$14:$C$51,C1083)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SUMIFS(RAB!$F$14:$F$51,RAB!$C$14:$C$51,C1084)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SUMIFS(RAB!$F$14:$F$51,RAB!$C$14:$C$51,C1085)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SUMIFS(RAB!$F$14:$F$51,RAB!$C$14:$C$51,C1086)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SUMIFS(RAB!$F$14:$F$51,RAB!$C$14:$C$51,C1087)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SUMIFS(RAB!$F$14:$F$51,RAB!$C$14:$C$51,C1088)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SUMIFS(RAB!$F$14:$F$51,RAB!$C$14:$C$51,C1089)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SUMIFS(RAB!$F$14:$F$51,RAB!$C$14:$C$51,C1090)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SUMIFS(RAB!$F$14:$F$51,RAB!$C$14:$C$51,C1091)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SUMIFS(RAB!$F$14:$F$51,RAB!$C$14:$C$51,C1092)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SUMIFS(RAB!$F$14:$F$51,RAB!$C$14:$C$51,C1093)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SUMIFS(RAB!$F$14:$F$51,RAB!$C$14:$C$51,C1094)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SUMIFS(RAB!$F$14:$F$51,RAB!$C$14:$C$51,C1095)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SUMIFS(RAB!$F$14:$F$51,RAB!$C$14:$C$51,C1096)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SUMIFS(RAB!$F$14:$F$51,RAB!$C$14:$C$51,C1097)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SUMIFS(RAB!$F$14:$F$51,RAB!$C$14:$C$51,C1098)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SUMIFS(RAB!$F$14:$F$51,RAB!$C$14:$C$51,C1099)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SUMIFS(RAB!$F$14:$F$51,RAB!$C$14:$C$51,C1100)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SUMIFS(RAB!$F$14:$F$51,RAB!$C$14:$C$51,C1101)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SUMIFS(RAB!$F$14:$F$51,RAB!$C$14:$C$51,C1102)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SUMIFS(RAB!$F$14:$F$51,RAB!$C$14:$C$51,C1103)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SUMIFS(RAB!$F$14:$F$51,RAB!$C$14:$C$51,C1104)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SUMIFS(RAB!$F$14:$F$51,RAB!$C$14:$C$51,C1105)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SUMIFS(RAB!$F$14:$F$51,RAB!$C$14:$C$51,C1106)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SUMIFS(RAB!$F$14:$F$51,RAB!$C$14:$C$51,C1107)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SUMIFS(RAB!$F$14:$F$51,RAB!$C$14:$C$51,C1108)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SUMIFS(RAB!$F$14:$F$51,RAB!$C$14:$C$51,C1109)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SUMIFS(RAB!$F$14:$F$51,RAB!$C$14:$C$51,C1110)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SUMIFS(RAB!$F$14:$F$51,RAB!$C$14:$C$51,C1111)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SUMIFS(RAB!$F$14:$F$51,RAB!$C$14:$C$51,C1112)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SUMIFS(RAB!$F$14:$F$51,RAB!$C$14:$C$51,C1113)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SUMIFS(RAB!$F$14:$F$51,RAB!$C$14:$C$51,C1114)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SUMIFS(RAB!$F$14:$F$51,RAB!$C$14:$C$51,C1115)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SUMIFS(RAB!$F$14:$F$51,RAB!$C$14:$C$51,C1116)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SUMIFS(RAB!$F$14:$F$51,RAB!$C$14:$C$51,C1117)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SUMIFS(RAB!$F$14:$F$51,RAB!$C$14:$C$51,C1118)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SUMIFS(RAB!$F$14:$F$51,RAB!$C$14:$C$51,C1119)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SUMIFS(RAB!$F$14:$F$51,RAB!$C$14:$C$51,C1120)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SUMIFS(RAB!$F$14:$F$51,RAB!$C$14:$C$51,C1121)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SUMIFS(RAB!$F$14:$F$51,RAB!$C$14:$C$51,C1122)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SUMIFS(RAB!$F$14:$F$51,RAB!$C$14:$C$51,C1123)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SUMIFS(RAB!$F$14:$F$51,RAB!$C$14:$C$51,C1124)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SUMIFS(RAB!$F$14:$F$51,RAB!$C$14:$C$51,C1125)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SUMIFS(RAB!$F$14:$F$51,RAB!$C$14:$C$51,C1126)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SUMIFS(RAB!$F$14:$F$51,RAB!$C$14:$C$51,C1127)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SUMIFS(RAB!$F$14:$F$51,RAB!$C$14:$C$51,C1128)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SUMIFS(RAB!$F$14:$F$51,RAB!$C$14:$C$51,C1129)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SUMIFS(RAB!$F$14:$F$51,RAB!$C$14:$C$51,C1130)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SUMIFS(RAB!$F$14:$F$51,RAB!$C$14:$C$51,C1131)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SUMIFS(RAB!$F$14:$F$51,RAB!$C$14:$C$51,C1132)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SUMIFS(RAB!$F$14:$F$51,RAB!$C$14:$C$51,C1133)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SUMIFS(RAB!$F$14:$F$51,RAB!$C$14:$C$51,C1134)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SUMIFS(RAB!$F$14:$F$51,RAB!$C$14:$C$51,C1135)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SUMIFS(RAB!$F$14:$F$51,RAB!$C$14:$C$51,C1136)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SUMIFS(RAB!$F$14:$F$51,RAB!$C$14:$C$51,C1137)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SUMIFS(RAB!$F$14:$F$51,RAB!$C$14:$C$51,C1138)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SUMIFS(RAB!$F$14:$F$51,RAB!$C$14:$C$51,C1139)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SUMIFS(RAB!$F$14:$F$51,RAB!$C$14:$C$51,C1140)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SUMIFS(RAB!$F$14:$F$51,RAB!$C$14:$C$51,C1141)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SUMIFS(RAB!$F$14:$F$51,RAB!$C$14:$C$51,C1142)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SUMIFS(RAB!$F$14:$F$51,RAB!$C$14:$C$51,C1143)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SUMIFS(RAB!$F$14:$F$51,RAB!$C$14:$C$51,C1144)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SUMIFS(RAB!$F$14:$F$51,RAB!$C$14:$C$51,C1145)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SUMIFS(RAB!$F$14:$F$51,RAB!$C$14:$C$51,C1146)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SUMIFS(RAB!$F$14:$F$51,RAB!$C$14:$C$51,C1147)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SUMIFS(RAB!$F$14:$F$51,RAB!$C$14:$C$51,C1148)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SUMIFS(RAB!$F$14:$F$51,RAB!$C$14:$C$51,C1149)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SUMIFS(RAB!$F$14:$F$51,RAB!$C$14:$C$51,C1150)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SUMIFS(RAB!$F$14:$F$51,RAB!$C$14:$C$51,C1151)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SUMIFS(RAB!$F$14:$F$51,RAB!$C$14:$C$51,C1152)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SUMIFS(RAB!$F$14:$F$51,RAB!$C$14:$C$51,C1153)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SUMIFS(RAB!$F$14:$F$51,RAB!$C$14:$C$51,C1154)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SUMIFS(RAB!$F$14:$F$51,RAB!$C$14:$C$51,C1155)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SUMIFS(RAB!$F$14:$F$51,RAB!$C$14:$C$51,C1156)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SUMIFS(RAB!$F$14:$F$51,RAB!$C$14:$C$51,C1157)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SUMIFS(RAB!$F$14:$F$51,RAB!$C$14:$C$51,C1158)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SUMIFS(RAB!$F$14:$F$51,RAB!$C$14:$C$51,C1159)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SUMIFS(RAB!$F$14:$F$51,RAB!$C$14:$C$51,C1160)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SUMIFS(RAB!$F$14:$F$51,RAB!$C$14:$C$51,C1161)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SUMIFS(RAB!$F$14:$F$51,RAB!$C$14:$C$51,C1162)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SUMIFS(RAB!$F$14:$F$51,RAB!$C$14:$C$51,C1163)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SUMIFS(RAB!$F$14:$F$51,RAB!$C$14:$C$51,C1164)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SUMIFS(RAB!$F$14:$F$51,RAB!$C$14:$C$51,C1165)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SUMIFS(RAB!$F$14:$F$51,RAB!$C$14:$C$51,C1166)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SUMIFS(RAB!$F$14:$F$51,RAB!$C$14:$C$51,C1167)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SUMIFS(RAB!$F$14:$F$51,RAB!$C$14:$C$51,C1168)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SUMIFS(RAB!$F$14:$F$51,RAB!$C$14:$C$51,C1169)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SUMIFS(RAB!$F$14:$F$51,RAB!$C$14:$C$51,C1170)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SUMIFS(RAB!$F$14:$F$51,RAB!$C$14:$C$51,C1171)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SUMIFS(RAB!$F$14:$F$51,RAB!$C$14:$C$51,C1172)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SUMIFS(RAB!$F$14:$F$51,RAB!$C$14:$C$51,C1173)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SUMIFS(RAB!$F$14:$F$51,RAB!$C$14:$C$51,C1174)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SUMIFS(RAB!$F$14:$F$51,RAB!$C$14:$C$51,C1175)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SUMIFS(RAB!$F$14:$F$51,RAB!$C$14:$C$51,C1176)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SUMIFS(RAB!$F$14:$F$51,RAB!$C$14:$C$51,C1177)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SUMIFS(RAB!$F$14:$F$51,RAB!$C$14:$C$51,C1178)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SUMIFS(RAB!$F$14:$F$51,RAB!$C$14:$C$51,C1179)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SUMIFS(RAB!$F$14:$F$51,RAB!$C$14:$C$51,C1180)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SUMIFS(RAB!$F$14:$F$51,RAB!$C$14:$C$51,C1181)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SUMIFS(RAB!$F$14:$F$51,RAB!$C$14:$C$51,C1182)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SUMIFS(RAB!$F$14:$F$51,RAB!$C$14:$C$51,C1183)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SUMIFS(RAB!$F$14:$F$51,RAB!$C$14:$C$51,C1184)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SUMIFS(RAB!$F$14:$F$51,RAB!$C$14:$C$51,C1185)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SUMIFS(RAB!$F$14:$F$51,RAB!$C$14:$C$51,C1186)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SUMIFS(RAB!$F$14:$F$51,RAB!$C$14:$C$51,C1187)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SUMIFS(RAB!$F$14:$F$51,RAB!$C$14:$C$51,C1188)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SUMIFS(RAB!$F$14:$F$51,RAB!$C$14:$C$51,C1189)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SUMIFS(RAB!$F$14:$F$51,RAB!$C$14:$C$51,C1190)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SUMIFS(RAB!$F$14:$F$51,RAB!$C$14:$C$51,C1191)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SUMIFS(RAB!$F$14:$F$51,RAB!$C$14:$C$51,C1192)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SUMIFS(RAB!$F$14:$F$51,RAB!$C$14:$C$51,C1193)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SUMIFS(RAB!$F$14:$F$51,RAB!$C$14:$C$51,C1194)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SUMIFS(RAB!$F$14:$F$51,RAB!$C$14:$C$51,C1195)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SUMIFS(RAB!$F$14:$F$51,RAB!$C$14:$C$51,C1196)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SUMIFS(RAB!$F$14:$F$51,RAB!$C$14:$C$51,C1197)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SUMIFS(RAB!$F$14:$F$51,RAB!$C$14:$C$51,C1198)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SUMIFS(RAB!$F$14:$F$51,RAB!$C$14:$C$51,C1199)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SUMIFS(RAB!$F$14:$F$51,RAB!$C$14:$C$51,C1200)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SUMIFS(RAB!$F$14:$F$51,RAB!$C$14:$C$51,C1201)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SUMIFS(RAB!$F$14:$F$51,RAB!$C$14:$C$51,C1202)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SUMIFS(RAB!$F$14:$F$51,RAB!$C$14:$C$51,C1203)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SUMIFS(RAB!$F$14:$F$51,RAB!$C$14:$C$51,C1204)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SUMIFS(RAB!$F$14:$F$51,RAB!$C$14:$C$51,C1205)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SUMIFS(RAB!$F$14:$F$51,RAB!$C$14:$C$51,C1206)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SUMIFS(RAB!$F$14:$F$51,RAB!$C$14:$C$51,C1207)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SUMIFS(RAB!$F$14:$F$51,RAB!$C$14:$C$51,C1208)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SUMIFS(RAB!$F$14:$F$51,RAB!$C$14:$C$51,C1209)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SUMIFS(RAB!$F$14:$F$51,RAB!$C$14:$C$51,C1210)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SUMIFS(RAB!$F$14:$F$51,RAB!$C$14:$C$51,C1211)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SUMIFS(RAB!$F$14:$F$51,RAB!$C$14:$C$51,C1212)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SUMIFS(RAB!$F$14:$F$51,RAB!$C$14:$C$51,C1213)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SUMIFS(RAB!$F$14:$F$51,RAB!$C$14:$C$51,C1214)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SUMIFS(RAB!$F$14:$F$51,RAB!$C$14:$C$51,C1215)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SUMIFS(RAB!$F$14:$F$51,RAB!$C$14:$C$51,C1216)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SUMIFS(RAB!$F$14:$F$51,RAB!$C$14:$C$51,C1217)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SUMIFS(RAB!$F$14:$F$51,RAB!$C$14:$C$51,C1218)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SUMIFS(RAB!$F$14:$F$51,RAB!$C$14:$C$51,C1219)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SUMIFS(RAB!$F$14:$F$51,RAB!$C$14:$C$51,C1220)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SUMIFS(RAB!$F$14:$F$51,RAB!$C$14:$C$51,C1221)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SUMIFS(RAB!$F$14:$F$51,RAB!$C$14:$C$51,C1222)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SUMIFS(RAB!$F$14:$F$51,RAB!$C$14:$C$51,C1223)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SUMIFS(RAB!$F$14:$F$51,RAB!$C$14:$C$51,C1224)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SUMIFS(RAB!$F$14:$F$51,RAB!$C$14:$C$51,C1225)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SUMIFS(RAB!$F$14:$F$51,RAB!$C$14:$C$51,C1226)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SUMIFS(RAB!$F$14:$F$51,RAB!$C$14:$C$51,C1227)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SUMIFS(RAB!$F$14:$F$51,RAB!$C$14:$C$51,C1228)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SUMIFS(RAB!$F$14:$F$51,RAB!$C$14:$C$51,C1229)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SUMIFS(RAB!$F$14:$F$51,RAB!$C$14:$C$51,C1230)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SUMIFS(RAB!$F$14:$F$51,RAB!$C$14:$C$51,C1231)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SUMIFS(RAB!$F$14:$F$51,RAB!$C$14:$C$51,C1232)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SUMIFS(RAB!$F$14:$F$51,RAB!$C$14:$C$51,C1233)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SUMIFS(RAB!$F$14:$F$51,RAB!$C$14:$C$51,C1234)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SUMIFS(RAB!$F$14:$F$51,RAB!$C$14:$C$51,C1235)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SUMIFS(RAB!$F$14:$F$51,RAB!$C$14:$C$51,C1236)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SUMIFS(RAB!$F$14:$F$51,RAB!$C$14:$C$51,C1237)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SUMIFS(RAB!$F$14:$F$51,RAB!$C$14:$C$51,C1238)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SUMIFS(RAB!$F$14:$F$51,RAB!$C$14:$C$51,C1239)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SUMIFS(RAB!$F$14:$F$51,RAB!$C$14:$C$51,C1240)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SUMIFS(RAB!$F$14:$F$51,RAB!$C$14:$C$51,C1241)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SUMIFS(RAB!$F$14:$F$51,RAB!$C$14:$C$51,C1242)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SUMIFS(RAB!$F$14:$F$51,RAB!$C$14:$C$51,C1243)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SUMIFS(RAB!$F$14:$F$51,RAB!$C$14:$C$51,C1244)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SUMIFS(RAB!$F$14:$F$51,RAB!$C$14:$C$51,C1245)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SUMIFS(RAB!$F$14:$F$51,RAB!$C$14:$C$51,C1246)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SUMIFS(RAB!$F$14:$F$51,RAB!$C$14:$C$51,C1247)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SUMIFS(RAB!$F$14:$F$51,RAB!$C$14:$C$51,C1248)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SUMIFS(RAB!$F$14:$F$51,RAB!$C$14:$C$51,C1249)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SUMIFS(RAB!$F$14:$F$51,RAB!$C$14:$C$51,C1250)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SUMIFS(RAB!$F$14:$F$51,RAB!$C$14:$C$51,C1251)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SUMIFS(RAB!$F$14:$F$51,RAB!$C$14:$C$51,C1252)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SUMIFS(RAB!$F$14:$F$51,RAB!$C$14:$C$51,C1253)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SUMIFS(RAB!$F$14:$F$51,RAB!$C$14:$C$51,C1254)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SUMIFS(RAB!$F$14:$F$51,RAB!$C$14:$C$51,C1255)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SUMIFS(RAB!$F$14:$F$51,RAB!$C$14:$C$51,C1256)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SUMIFS(RAB!$F$14:$F$51,RAB!$C$14:$C$51,C1257)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SUMIFS(RAB!$F$14:$F$51,RAB!$C$14:$C$51,C1258)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SUMIFS(RAB!$F$14:$F$51,RAB!$C$14:$C$51,C1259)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SUMIFS(RAB!$F$14:$F$51,RAB!$C$14:$C$51,C1260)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SUMIFS(RAB!$F$14:$F$51,RAB!$C$14:$C$51,C1261)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SUMIFS(RAB!$F$14:$F$51,RAB!$C$14:$C$51,C1262)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SUMIFS(RAB!$F$14:$F$51,RAB!$C$14:$C$51,C1263)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SUMIFS(RAB!$F$14:$F$51,RAB!$C$14:$C$51,C1264)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SUMIFS(RAB!$F$14:$F$51,RAB!$C$14:$C$51,C1265)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SUMIFS(RAB!$F$14:$F$51,RAB!$C$14:$C$51,C1266)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SUMIFS(RAB!$F$14:$F$51,RAB!$C$14:$C$51,C1267)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SUMIFS(RAB!$F$14:$F$51,RAB!$C$14:$C$51,C1268)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SUMIFS(RAB!$F$14:$F$51,RAB!$C$14:$C$51,C1269)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SUMIFS(RAB!$F$14:$F$51,RAB!$C$14:$C$51,C1270)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SUMIFS(RAB!$F$14:$F$51,RAB!$C$14:$C$51,C1271)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SUMIFS(RAB!$F$14:$F$51,RAB!$C$14:$C$51,C1272)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SUMIFS(RAB!$F$14:$F$51,RAB!$C$14:$C$51,C1273)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SUMIFS(RAB!$F$14:$F$51,RAB!$C$14:$C$51,C1274)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SUMIFS(RAB!$F$14:$F$51,RAB!$C$14:$C$51,C1275)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SUMIFS(RAB!$F$14:$F$51,RAB!$C$14:$C$51,C1276)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SUMIFS(RAB!$F$14:$F$51,RAB!$C$14:$C$51,C1277)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SUMIFS(RAB!$F$14:$F$51,RAB!$C$14:$C$51,C1278)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SUMIFS(RAB!$F$14:$F$51,RAB!$C$14:$C$51,C1279)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SUMIFS(RAB!$F$14:$F$51,RAB!$C$14:$C$51,C1280)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SUMIFS(RAB!$F$14:$F$51,RAB!$C$14:$C$51,C1281)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SUMIFS(RAB!$F$14:$F$51,RAB!$C$14:$C$51,C1282)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SUMIFS(RAB!$F$14:$F$51,RAB!$C$14:$C$51,C1283)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SUMIFS(RAB!$F$14:$F$51,RAB!$C$14:$C$51,C1284)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SUMIFS(RAB!$F$14:$F$51,RAB!$C$14:$C$51,C1285)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SUMIFS(RAB!$F$14:$F$51,RAB!$C$14:$C$51,C1286)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SUMIFS(RAB!$F$14:$F$51,RAB!$C$14:$C$51,C1287)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SUMIFS(RAB!$F$14:$F$51,RAB!$C$14:$C$51,C1288)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SUMIFS(RAB!$F$14:$F$51,RAB!$C$14:$C$51,C1289)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SUMIFS(RAB!$F$14:$F$51,RAB!$C$14:$C$51,C1290)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SUMIFS(RAB!$F$14:$F$51,RAB!$C$14:$C$51,C1291)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SUMIFS(RAB!$F$14:$F$51,RAB!$C$14:$C$51,C1292)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SUMIFS(RAB!$F$14:$F$51,RAB!$C$14:$C$51,C1293)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SUMIFS(RAB!$F$14:$F$51,RAB!$C$14:$C$51,C1294)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SUMIFS(RAB!$F$14:$F$51,RAB!$C$14:$C$51,C1295)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SUMIFS(RAB!$F$14:$F$51,RAB!$C$14:$C$51,C1296)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SUMIFS(RAB!$F$14:$F$51,RAB!$C$14:$C$51,C1297)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SUMIFS(RAB!$F$14:$F$51,RAB!$C$14:$C$51,C1298)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SUMIFS(RAB!$F$14:$F$51,RAB!$C$14:$C$51,C1299)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SUMIFS(RAB!$F$14:$F$51,RAB!$C$14:$C$51,C1300)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SUMIFS(RAB!$F$14:$F$51,RAB!$C$14:$C$51,C1301)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SUMIFS(RAB!$F$14:$F$51,RAB!$C$14:$C$51,C1302)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SUMIFS(RAB!$F$14:$F$51,RAB!$C$14:$C$51,C1303)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SUMIFS(RAB!$F$14:$F$51,RAB!$C$14:$C$51,C1304)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SUMIFS(RAB!$F$14:$F$51,RAB!$C$14:$C$51,C1305)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SUMIFS(RAB!$F$14:$F$51,RAB!$C$14:$C$51,C1306)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SUMIFS(RAB!$F$14:$F$51,RAB!$C$14:$C$51,C1307)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SUMIFS(RAB!$F$14:$F$51,RAB!$C$14:$C$51,C1308)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SUMIFS(RAB!$F$14:$F$51,RAB!$C$14:$C$51,C1309)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SUMIFS(RAB!$F$14:$F$51,RAB!$C$14:$C$51,C1310)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SUMIFS(RAB!$F$14:$F$51,RAB!$C$14:$C$51,C1311)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SUMIFS(RAB!$F$14:$F$51,RAB!$C$14:$C$51,C1312)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SUMIFS(RAB!$F$14:$F$51,RAB!$C$14:$C$51,C1313)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SUMIFS(RAB!$F$14:$F$51,RAB!$C$14:$C$51,C1314)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SUMIFS(RAB!$F$14:$F$51,RAB!$C$14:$C$51,C1315)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SUMIFS(RAB!$F$14:$F$51,RAB!$C$14:$C$51,C1316)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SUMIFS(RAB!$F$14:$F$51,RAB!$C$14:$C$51,C1317)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SUMIFS(RAB!$F$14:$F$51,RAB!$C$14:$C$51,C1318)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SUMIFS(RAB!$F$14:$F$51,RAB!$C$14:$C$51,C1319)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SUMIFS(RAB!$F$14:$F$51,RAB!$C$14:$C$51,C1320)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HERI SULISTYAWAN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GAJAHAMADA 68 WIROSARI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SUMIFS(RAB!$F$14:$F$51,RAB!$C$14:$C$51,'REKAP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SUMIFS(RAB!$F$14:$F$51,RAB!$C$14:$C$51,'REKAP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SUMIFS(RAB!$F$14:$F$51,RAB!$C$14:$C$51,'REKAP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SUMIFS(RAB!$F$14:$F$51,RAB!$C$14:$C$51,'REKAP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SUMIFS(RAB!$F$14:$F$51,RAB!$C$14:$C$51,'REKAP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SUMIFS(RAB!$F$14:$F$51,RAB!$C$14:$C$51,'REKAP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SUMIFS(RAB!$F$14:$F$51,RAB!$C$14:$C$51,'REKAP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SUMIFS(RAB!$F$14:$F$51,RAB!$C$14:$C$51,'REKAP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SUMIFS(RAB!$F$14:$F$51,RAB!$C$14:$C$51,'REKAP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SUMIFS(RAB!$F$14:$F$51,RAB!$C$14:$C$51,'REKAP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SUMIFS(RAB!$F$14:$F$51,RAB!$C$14:$C$51,'REKAP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SUMIFS(RAB!$F$14:$F$51,RAB!$C$14:$C$51,'REKAP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SUMIFS(RAB!$F$14:$F$51,RAB!$C$14:$C$51,'REKAP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SUMIFS(RAB!$F$14:$F$51,RAB!$C$14:$C$51,'REKAP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SUMIFS(RAB!$F$14:$F$51,RAB!$C$14:$C$51,'REKAP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SUMIFS(RAB!$F$14:$F$51,RAB!$C$14:$C$51,'REKAP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SUMIFS(RAB!$F$14:$F$51,RAB!$C$14:$C$51,'REKAP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SUMIFS(RAB!$F$14:$F$51,RAB!$C$14:$C$51,'REKAP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SUMIFS(RAB!$F$14:$F$51,RAB!$C$14:$C$51,'REKAP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SUMIFS(RAB!$F$14:$F$51,RAB!$C$14:$C$51,'REKAP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HERI SULISTYAWAN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GAJAHAMADA 68 WIROSARI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82.5 kVA MCCB 125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100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5450000</v>
      </c>
      <c r="I22" s="42">
        <f t="shared" ca="1" si="2"/>
        <v>0</v>
      </c>
      <c r="J22" s="42">
        <f t="shared" ca="1" si="3"/>
        <v>0</v>
      </c>
      <c r="K22" s="43">
        <f t="shared" ca="1" si="0"/>
        <v>5450000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82860950</v>
      </c>
      <c r="I168" s="55">
        <f ca="1">SUM(I14:I167)</f>
        <v>0</v>
      </c>
      <c r="J168" s="55">
        <f ca="1">SUM(J14:J167)</f>
        <v>0</v>
      </c>
      <c r="K168" s="55">
        <f ca="1">SUM(K14:K167)</f>
        <v>82860950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8286095</v>
      </c>
      <c r="I169" s="60">
        <f ca="1">I168*0.1</f>
        <v>0</v>
      </c>
      <c r="J169" s="60">
        <f ca="1">J168*0.1</f>
        <v>0</v>
      </c>
      <c r="K169" s="60">
        <f ca="1">K168*0.1</f>
        <v>8286095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91147045</v>
      </c>
      <c r="I170" s="78">
        <f ca="1">SUM(I168:I169)</f>
        <v>0</v>
      </c>
      <c r="J170" s="61">
        <f ca="1">SUM(J168:J169)</f>
        <v>0</v>
      </c>
      <c r="K170" s="61">
        <f ca="1">SUM(K168:K169)</f>
        <v>91147045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SUMIFS(RAB!$F$14:$F$51,RAB!$C$14:$C$51,C224)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SUMIFS(RAB!$F$14:$F$51,RAB!$C$14:$C$51,C225)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SUMIFS(RAB!$F$14:$F$51,RAB!$C$14:$C$51,C226)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SUMIFS(RAB!$F$14:$F$51,RAB!$C$14:$C$51,C227)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SUMIFS(RAB!$F$14:$F$51,RAB!$C$14:$C$51,C228)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SUMIFS(RAB!$F$14:$F$51,RAB!$C$14:$C$51,C229)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SUMIFS(RAB!$F$14:$F$51,RAB!$C$14:$C$51,C230)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SUMIFS(RAB!$F$14:$F$51,RAB!$C$14:$C$51,C231)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SUMIFS(RAB!$F$14:$F$51,RAB!$C$14:$C$51,C232)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SUMIFS(RAB!$F$14:$F$51,RAB!$C$14:$C$51,C233)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SUMIFS(RAB!$F$14:$F$51,RAB!$C$14:$C$51,C234)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SUMIFS(RAB!$F$14:$F$51,RAB!$C$14:$C$51,C235)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SUMIFS(RAB!$F$14:$F$51,RAB!$C$14:$C$51,C236)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SUMIFS(RAB!$F$14:$F$51,RAB!$C$14:$C$51,C237)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SUMIFS(RAB!$F$14:$F$51,RAB!$C$14:$C$51,C238)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SUMIFS(RAB!$F$14:$F$51,RAB!$C$14:$C$51,C239)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SUMIFS(RAB!$F$14:$F$51,RAB!$C$14:$C$51,C240)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SUMIFS(RAB!$F$14:$F$51,RAB!$C$14:$C$51,C241)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SUMIFS(RAB!$F$14:$F$51,RAB!$C$14:$C$51,C242)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SUMIFS(RAB!$F$14:$F$51,RAB!$C$14:$C$51,C243)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SUMIFS(RAB!$F$14:$F$51,RAB!$C$14:$C$51,C244)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SUMIFS(RAB!$F$14:$F$51,RAB!$C$14:$C$51,C245)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SUMIFS(RAB!$F$14:$F$51,RAB!$C$14:$C$51,C246)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SUMIFS(RAB!$F$14:$F$51,RAB!$C$14:$C$51,C247)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SUMIFS(RAB!$F$14:$F$51,RAB!$C$14:$C$51,C248)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SUMIFS(RAB!$F$14:$F$51,RAB!$C$14:$C$51,C249)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SUMIFS(RAB!$F$14:$F$51,RAB!$C$14:$C$51,C250)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SUMIFS(RAB!$F$14:$F$51,RAB!$C$14:$C$51,C251)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SUMIFS(RAB!$F$14:$F$51,RAB!$C$14:$C$51,C252)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SUMIFS(RAB!$F$14:$F$51,RAB!$C$14:$C$51,C253)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SUMIFS(RAB!$F$14:$F$51,RAB!$C$14:$C$51,C254)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SUMIFS(RAB!$F$14:$F$51,RAB!$C$14:$C$51,C255)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SUMIFS(RAB!$F$14:$F$51,RAB!$C$14:$C$51,C256)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SUMIFS(RAB!$F$14:$F$51,RAB!$C$14:$C$51,C257)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SUMIFS(RAB!$F$14:$F$51,RAB!$C$14:$C$51,C258)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SUMIFS(RAB!$F$14:$F$51,RAB!$C$14:$C$51,C259)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SUMIFS(RAB!$F$14:$F$51,RAB!$C$14:$C$51,C260)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SUMIFS(RAB!$F$14:$F$51,RAB!$C$14:$C$51,C261)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SUMIFS(RAB!$F$14:$F$51,RAB!$C$14:$C$51,C262)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SUMIFS(RAB!$F$14:$F$51,RAB!$C$14:$C$51,C263)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SUMIFS(RAB!$F$14:$F$51,RAB!$C$14:$C$51,C264)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SUMIFS(RAB!$F$14:$F$51,RAB!$C$14:$C$51,C265)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SUMIFS(RAB!$F$14:$F$51,RAB!$C$14:$C$51,C266)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SUMIFS(RAB!$F$14:$F$51,RAB!$C$14:$C$51,C267)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SUMIFS(RAB!$F$14:$F$51,RAB!$C$14:$C$51,C268)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SUMIFS(RAB!$F$14:$F$51,RAB!$C$14:$C$51,C269)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SUMIFS(RAB!$F$14:$F$51,RAB!$C$14:$C$51,C270)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SUMIFS(RAB!$F$14:$F$51,RAB!$C$14:$C$51,C271)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SUMIFS(RAB!$F$14:$F$51,RAB!$C$14:$C$51,C272)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SUMIFS(RAB!$F$14:$F$51,RAB!$C$14:$C$51,C273)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SUMIFS(RAB!$F$14:$F$51,RAB!$C$14:$C$51,C274)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SUMIFS(RAB!$F$14:$F$51,RAB!$C$14:$C$51,C275)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SUMIFS(RAB!$F$14:$F$51,RAB!$C$14:$C$51,C276)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SUMIFS(RAB!$F$14:$F$51,RAB!$C$14:$C$51,C277)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SUMIFS(RAB!$F$14:$F$51,RAB!$C$14:$C$51,C278)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SUMIFS(RAB!$F$14:$F$51,RAB!$C$14:$C$51,C279)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SUMIFS(RAB!$F$14:$F$51,RAB!$C$14:$C$51,C280)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SUMIFS(RAB!$F$14:$F$51,RAB!$C$14:$C$51,C281)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SUMIFS(RAB!$F$14:$F$51,RAB!$C$14:$C$51,C282)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SUMIFS(RAB!$F$14:$F$51,RAB!$C$14:$C$51,C283)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SUMIFS(RAB!$F$14:$F$51,RAB!$C$14:$C$51,C284)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SUMIFS(RAB!$F$14:$F$51,RAB!$C$14:$C$51,C285)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SUMIFS(RAB!$F$14:$F$51,RAB!$C$14:$C$51,C286)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SUMIFS(RAB!$F$14:$F$51,RAB!$C$14:$C$51,C287)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SUMIFS(RAB!$F$14:$F$51,RAB!$C$14:$C$51,C288)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SUMIFS(RAB!$F$14:$F$51,RAB!$C$14:$C$51,C289)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SUMIFS(RAB!$F$14:$F$51,RAB!$C$14:$C$51,C290)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SUMIFS(RAB!$F$14:$F$51,RAB!$C$14:$C$51,C291)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SUMIFS(RAB!$F$14:$F$51,RAB!$C$14:$C$51,C292)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SUMIFS(RAB!$F$14:$F$51,RAB!$C$14:$C$51,C293)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SUMIFS(RAB!$F$14:$F$51,RAB!$C$14:$C$51,C294)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SUMIFS(RAB!$F$14:$F$51,RAB!$C$14:$C$51,C295)</f>
        <v>1</v>
      </c>
      <c r="E295" s="24">
        <f t="shared" ca="1" si="22"/>
        <v>1</v>
      </c>
      <c r="F295" s="24">
        <f ca="1">IF(D295=0,0,SUM($E$223:E295))</f>
        <v>2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SUMIFS(RAB!$F$14:$F$51,RAB!$C$14:$C$51,C296)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SUMIFS(RAB!$F$14:$F$51,RAB!$C$14:$C$51,C297)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SUMIFS(RAB!$F$14:$F$51,RAB!$C$14:$C$51,C298)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SUMIFS(RAB!$F$14:$F$51,RAB!$C$14:$C$51,C299)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SUMIFS(RAB!$F$14:$F$51,RAB!$C$14:$C$51,C300)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SUMIFS(RAB!$F$14:$F$51,RAB!$C$14:$C$51,C301)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SUMIFS(RAB!$F$14:$F$51,RAB!$C$14:$C$51,C302)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SUMIFS(RAB!$F$14:$F$51,RAB!$C$14:$C$51,C303)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SUMIFS(RAB!$F$14:$F$51,RAB!$C$14:$C$51,C304)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SUMIFS(RAB!$F$14:$F$51,RAB!$C$14:$C$51,C305)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SUMIFS(RAB!$F$14:$F$51,RAB!$C$14:$C$51,C306)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SUMIFS(RAB!$F$14:$F$51,RAB!$C$14:$C$51,C307)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SUMIFS(RAB!$F$14:$F$51,RAB!$C$14:$C$51,C308)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SUMIFS(RAB!$F$14:$F$51,RAB!$C$14:$C$51,C309)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SUMIFS(RAB!$F$14:$F$51,RAB!$C$14:$C$51,C310)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SUMIFS(RAB!$F$14:$F$51,RAB!$C$14:$C$51,C311)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SUMIFS(RAB!$F$14:$F$51,RAB!$C$14:$C$51,C312)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SUMIFS(RAB!$F$14:$F$51,RAB!$C$14:$C$51,C313)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SUMIFS(RAB!$F$14:$F$51,RAB!$C$14:$C$51,C314)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SUMIFS(RAB!$F$14:$F$51,RAB!$C$14:$C$51,C315)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SUMIFS(RAB!$F$14:$F$51,RAB!$C$14:$C$51,C316)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SUMIFS(RAB!$F$14:$F$51,RAB!$C$14:$C$51,C317)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SUMIFS(RAB!$F$14:$F$51,RAB!$C$14:$C$51,C318)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SUMIFS(RAB!$F$14:$F$51,RAB!$C$14:$C$51,C319)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SUMIFS(RAB!$F$14:$F$51,RAB!$C$14:$C$51,C320)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SUMIFS(RAB!$F$14:$F$51,RAB!$C$14:$C$51,C321)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SUMIFS(RAB!$F$14:$F$51,RAB!$C$14:$C$51,C322)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SUMIFS(RAB!$F$14:$F$51,RAB!$C$14:$C$51,C323)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SUMIFS(RAB!$F$14:$F$51,RAB!$C$14:$C$51,C324)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SUMIFS(RAB!$F$14:$F$51,RAB!$C$14:$C$51,C325)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SUMIFS(RAB!$F$14:$F$51,RAB!$C$14:$C$51,C326)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SUMIFS(RAB!$F$14:$F$51,RAB!$C$14:$C$51,C327)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SUMIFS(RAB!$F$14:$F$51,RAB!$C$14:$C$51,C328)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SUMIFS(RAB!$F$14:$F$51,RAB!$C$14:$C$51,C329)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SUMIFS(RAB!$F$14:$F$51,RAB!$C$14:$C$51,C330)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SUMIFS(RAB!$F$14:$F$51,RAB!$C$14:$C$51,C331)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SUMIFS(RAB!$F$14:$F$51,RAB!$C$14:$C$51,C332)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SUMIFS(RAB!$F$14:$F$51,RAB!$C$14:$C$51,C333)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SUMIFS(RAB!$F$14:$F$51,RAB!$C$14:$C$51,C334)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SUMIFS(RAB!$F$14:$F$51,RAB!$C$14:$C$51,C335)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SUMIFS(RAB!$F$14:$F$51,RAB!$C$14:$C$51,C336)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SUMIFS(RAB!$F$14:$F$51,RAB!$C$14:$C$51,C337)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SUMIFS(RAB!$F$14:$F$51,RAB!$C$14:$C$51,C338)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SUMIFS(RAB!$F$14:$F$51,RAB!$C$14:$C$51,C339)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SUMIFS(RAB!$F$14:$F$51,RAB!$C$14:$C$51,C340)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SUMIFS(RAB!$F$14:$F$51,RAB!$C$14:$C$51,C341)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SUMIFS(RAB!$F$14:$F$51,RAB!$C$14:$C$51,C342)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SUMIFS(RAB!$F$14:$F$51,RAB!$C$14:$C$51,C343)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SUMIFS(RAB!$F$14:$F$51,RAB!$C$14:$C$51,C344)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SUMIFS(RAB!$F$14:$F$51,RAB!$C$14:$C$51,C345)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SUMIFS(RAB!$F$14:$F$51,RAB!$C$14:$C$51,C346)</f>
        <v>100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SUMIFS(RAB!$F$14:$F$51,RAB!$C$14:$C$51,C347)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SUMIFS(RAB!$F$14:$F$51,RAB!$C$14:$C$51,C348)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SUMIFS(RAB!$F$14:$F$51,RAB!$C$14:$C$51,C349)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SUMIFS(RAB!$F$14:$F$51,RAB!$C$14:$C$51,C350)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SUMIFS(RAB!$F$14:$F$51,RAB!$C$14:$C$51,C351)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SUMIFS(RAB!$F$14:$F$51,RAB!$C$14:$C$51,C352)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SUMIFS(RAB!$F$14:$F$51,RAB!$C$14:$C$51,C353)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SUMIFS(RAB!$F$14:$F$51,RAB!$C$14:$C$51,C354)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SUMIFS(RAB!$F$14:$F$51,RAB!$C$14:$C$51,C355)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SUMIFS(RAB!$F$14:$F$51,RAB!$C$14:$C$51,C356)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SUMIFS(RAB!$F$14:$F$51,RAB!$C$14:$C$51,C357)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SUMIFS(RAB!$F$14:$F$51,RAB!$C$14:$C$51,C358)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SUMIFS(RAB!$F$14:$F$51,RAB!$C$14:$C$51,C359)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SUMIFS(RAB!$F$14:$F$51,RAB!$C$14:$C$51,C360)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SUMIFS(RAB!$F$14:$F$51,RAB!$C$14:$C$51,C361)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SUMIFS(RAB!$F$14:$F$51,RAB!$C$14:$C$51,C362)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SUMIFS(RAB!$F$14:$F$51,RAB!$C$14:$C$51,C363)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SUMIFS(RAB!$F$14:$F$51,RAB!$C$14:$C$51,C364)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SUMIFS(RAB!$F$14:$F$51,RAB!$C$14:$C$51,C365)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SUMIFS(RAB!$F$14:$F$51,RAB!$C$14:$C$51,C366)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SUMIFS(RAB!$F$14:$F$51,RAB!$C$14:$C$51,C367)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SUMIFS(RAB!$F$14:$F$51,RAB!$C$14:$C$51,C368)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SUMIFS(RAB!$F$14:$F$51,RAB!$C$14:$C$51,C369)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SUMIFS(RAB!$F$14:$F$51,RAB!$C$14:$C$51,C370)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SUMIFS(RAB!$F$14:$F$51,RAB!$C$14:$C$51,C371)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SUMIFS(RAB!$F$14:$F$51,RAB!$C$14:$C$51,C372)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SUMIFS(RAB!$F$14:$F$51,RAB!$C$14:$C$51,C373)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4" activePane="bottomRight" state="frozen"/>
      <selection activeCell="D209" sqref="D209"/>
      <selection pane="topRight" activeCell="D209" sqref="D209"/>
      <selection pane="bottomLeft" activeCell="D209" sqref="D209"/>
      <selection pane="bottomRight" activeCell="C230" sqref="C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1605</v>
      </c>
      <c r="G4" s="108" t="s">
        <v>1604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3" priority="138" operator="equal">
      <formula>0</formula>
    </cfRule>
  </conditionalFormatting>
  <conditionalFormatting sqref="B8:C135">
    <cfRule type="cellIs" dxfId="32" priority="51" operator="equal">
      <formula>0</formula>
    </cfRule>
  </conditionalFormatting>
  <conditionalFormatting sqref="B150:G1493">
    <cfRule type="cellIs" dxfId="31" priority="1" operator="equal">
      <formula>0</formula>
    </cfRule>
  </conditionalFormatting>
  <conditionalFormatting sqref="C143:G149">
    <cfRule type="cellIs" dxfId="30" priority="5" operator="equal">
      <formula>0</formula>
    </cfRule>
  </conditionalFormatting>
  <conditionalFormatting sqref="D9:G142">
    <cfRule type="cellIs" dxfId="29" priority="11" operator="equal">
      <formula>0</formula>
    </cfRule>
  </conditionalFormatting>
  <conditionalFormatting sqref="D1:IV5 A1:C7 D6:K6 H1455:IV1457 H1458:XFD1485 H1486:H1493 I1486:XFD1494 A1494:H1494 A1495:XFD65536">
    <cfRule type="cellIs" dxfId="28" priority="163" operator="equal">
      <formula>0</formula>
    </cfRule>
  </conditionalFormatting>
  <conditionalFormatting sqref="D7:IV8 C136:C142 B136:B149">
    <cfRule type="cellIs" dxfId="27" priority="62" operator="equal">
      <formula>0</formula>
    </cfRule>
  </conditionalFormatting>
  <conditionalFormatting sqref="H9:H1418">
    <cfRule type="cellIs" dxfId="26" priority="129" operator="equal">
      <formula>0</formula>
    </cfRule>
  </conditionalFormatting>
  <conditionalFormatting sqref="H1419:I1454">
    <cfRule type="cellIs" dxfId="25" priority="128" operator="equal">
      <formula>0</formula>
    </cfRule>
  </conditionalFormatting>
  <conditionalFormatting sqref="I108:I1418">
    <cfRule type="cellIs" dxfId="24" priority="125" operator="equal">
      <formula>0</formula>
    </cfRule>
  </conditionalFormatting>
  <conditionalFormatting sqref="J108:IV1454">
    <cfRule type="cellIs" dxfId="23" priority="139" operator="equal">
      <formula>0</formula>
    </cfRule>
  </conditionalFormatting>
  <conditionalFormatting sqref="M6:IV6">
    <cfRule type="cellIs" dxfId="2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topLeftCell="A16" zoomScale="70" zoomScaleNormal="70" zoomScaleSheetLayoutView="85" workbookViewId="0">
      <selection activeCell="K12" sqref="K12:L12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34"/>
      <c r="G4" s="434"/>
      <c r="H4" s="435"/>
      <c r="I4" s="593" t="s">
        <v>1533</v>
      </c>
      <c r="J4" s="594"/>
      <c r="K4" s="594"/>
      <c r="L4" s="595"/>
    </row>
    <row r="5" spans="1:12" ht="46.5" customHeight="1">
      <c r="A5" s="204"/>
      <c r="B5" s="437" t="s">
        <v>1379</v>
      </c>
      <c r="C5" s="277" t="s">
        <v>9</v>
      </c>
      <c r="D5" s="564" t="str">
        <f>DATA!D14</f>
        <v>HERI SULISTYAWAN</v>
      </c>
      <c r="E5" s="565"/>
      <c r="F5" s="208"/>
      <c r="G5" s="208"/>
      <c r="I5" s="438" t="s">
        <v>1379</v>
      </c>
      <c r="J5" s="277" t="s">
        <v>9</v>
      </c>
      <c r="K5" s="596" t="str">
        <f>D5</f>
        <v>HERI SULISTYAWAN</v>
      </c>
      <c r="L5" s="597"/>
    </row>
    <row r="6" spans="1:12" ht="31.5" customHeight="1">
      <c r="A6" s="204"/>
      <c r="B6" s="437" t="s">
        <v>1529</v>
      </c>
      <c r="C6" s="277" t="s">
        <v>9</v>
      </c>
      <c r="D6" s="573">
        <f>DATA!D17*1000</f>
        <v>41500</v>
      </c>
      <c r="E6" s="574"/>
      <c r="F6" s="208"/>
      <c r="G6" s="208"/>
      <c r="I6" s="438" t="s">
        <v>1530</v>
      </c>
      <c r="J6" s="277" t="s">
        <v>9</v>
      </c>
      <c r="K6" s="598">
        <f>DATA!D20*1000</f>
        <v>82500</v>
      </c>
      <c r="L6" s="599"/>
    </row>
    <row r="7" spans="1:12" ht="30.75" customHeight="1">
      <c r="A7" s="204"/>
      <c r="B7" s="437" t="s">
        <v>1441</v>
      </c>
      <c r="C7" s="277" t="s">
        <v>9</v>
      </c>
      <c r="D7" s="571">
        <f>DATA!D18</f>
        <v>3</v>
      </c>
      <c r="E7" s="572"/>
      <c r="F7" s="436" t="s">
        <v>1453</v>
      </c>
      <c r="I7" s="438" t="s">
        <v>1441</v>
      </c>
      <c r="J7" s="277" t="s">
        <v>9</v>
      </c>
      <c r="K7" s="600">
        <f>DATA!D21</f>
        <v>3</v>
      </c>
      <c r="L7" s="601"/>
    </row>
    <row r="8" spans="1:12" ht="51" customHeight="1">
      <c r="A8" s="204"/>
      <c r="B8" s="437" t="s">
        <v>1442</v>
      </c>
      <c r="C8" s="277" t="s">
        <v>9</v>
      </c>
      <c r="D8" s="571">
        <f>DATA!D19</f>
        <v>380</v>
      </c>
      <c r="E8" s="572"/>
      <c r="F8" s="436" t="s">
        <v>1453</v>
      </c>
      <c r="G8" s="431">
        <v>220</v>
      </c>
      <c r="I8" s="438" t="s">
        <v>1442</v>
      </c>
      <c r="J8" s="277" t="s">
        <v>9</v>
      </c>
      <c r="K8" s="600">
        <f>DATA!D22</f>
        <v>380</v>
      </c>
      <c r="L8" s="601"/>
    </row>
    <row r="9" spans="1:12" ht="30" customHeight="1" thickBot="1">
      <c r="A9" s="204"/>
      <c r="B9" s="443" t="s">
        <v>1541</v>
      </c>
      <c r="C9" s="433" t="s">
        <v>9</v>
      </c>
      <c r="D9" s="566">
        <f>IF(D7=1,D6/(380/3^0.5),(D6/(380*3^0.5)))</f>
        <v>63.052726766761765</v>
      </c>
      <c r="E9" s="567"/>
      <c r="F9" s="207"/>
      <c r="G9" s="432">
        <v>380</v>
      </c>
      <c r="I9" s="444" t="s">
        <v>1541</v>
      </c>
      <c r="J9" s="433" t="s">
        <v>9</v>
      </c>
      <c r="K9" s="602">
        <f>IF(K7=1,K6/(380/3^0.5),(K6/(380*3^0.5)))</f>
        <v>125.34578212669508</v>
      </c>
      <c r="L9" s="603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5" t="s">
        <v>1620</v>
      </c>
      <c r="E12" s="576"/>
      <c r="F12" s="208"/>
      <c r="G12" s="208"/>
      <c r="I12" s="460" t="s">
        <v>1534</v>
      </c>
      <c r="J12" s="461" t="s">
        <v>9</v>
      </c>
      <c r="K12" s="575" t="s">
        <v>1620</v>
      </c>
      <c r="L12" s="576"/>
    </row>
    <row r="13" spans="1:12" ht="31.5" customHeight="1">
      <c r="A13" s="204"/>
      <c r="B13" s="468" t="s">
        <v>1380</v>
      </c>
      <c r="C13" s="448" t="s">
        <v>9</v>
      </c>
      <c r="D13" s="579" t="s">
        <v>1621</v>
      </c>
      <c r="E13" s="580"/>
      <c r="F13" s="208"/>
      <c r="G13" s="208"/>
      <c r="I13" s="462" t="s">
        <v>1380</v>
      </c>
      <c r="J13" s="448" t="s">
        <v>9</v>
      </c>
      <c r="K13" s="579" t="s">
        <v>1613</v>
      </c>
      <c r="L13" s="580"/>
    </row>
    <row r="14" spans="1:12" ht="30.75" customHeight="1">
      <c r="A14" s="204"/>
      <c r="B14" s="468" t="s">
        <v>1535</v>
      </c>
      <c r="C14" s="448" t="s">
        <v>9</v>
      </c>
      <c r="D14" s="587">
        <v>50</v>
      </c>
      <c r="E14" s="588"/>
      <c r="F14" s="436" t="s">
        <v>1453</v>
      </c>
      <c r="G14" s="440">
        <v>50</v>
      </c>
      <c r="I14" s="462" t="s">
        <v>1535</v>
      </c>
      <c r="J14" s="448" t="s">
        <v>9</v>
      </c>
      <c r="K14" s="587">
        <v>100</v>
      </c>
      <c r="L14" s="588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9">
        <v>72</v>
      </c>
      <c r="E16" s="590"/>
      <c r="F16" s="436"/>
      <c r="G16" s="440">
        <v>160</v>
      </c>
      <c r="I16" s="462" t="s">
        <v>1537</v>
      </c>
      <c r="J16" s="448" t="s">
        <v>9</v>
      </c>
      <c r="K16" s="591">
        <f>K9</f>
        <v>125.34578212669508</v>
      </c>
      <c r="L16" s="592"/>
    </row>
    <row r="17" spans="1:12" ht="34.5" customHeight="1">
      <c r="A17" s="204"/>
      <c r="B17" s="468" t="s">
        <v>1538</v>
      </c>
      <c r="C17" s="448" t="s">
        <v>9</v>
      </c>
      <c r="D17" s="581">
        <f>IF(D15=1,D14/(20/3^0.5),(D14/(20*3^0.5)))</f>
        <v>1.4433756729740645</v>
      </c>
      <c r="E17" s="582"/>
      <c r="F17" s="436" t="s">
        <v>1453</v>
      </c>
      <c r="G17" s="441">
        <v>200</v>
      </c>
      <c r="I17" s="462" t="s">
        <v>1538</v>
      </c>
      <c r="J17" s="448" t="s">
        <v>9</v>
      </c>
      <c r="K17" s="585">
        <f>IF(K15=1,K14/(20/3^0.5),(K14/(20*3^0.5)))</f>
        <v>2.8867513459481291</v>
      </c>
      <c r="L17" s="586"/>
    </row>
    <row r="18" spans="1:12" ht="34.5" customHeight="1">
      <c r="A18" s="204"/>
      <c r="B18" s="468" t="s">
        <v>1539</v>
      </c>
      <c r="C18" s="448" t="s">
        <v>9</v>
      </c>
      <c r="D18" s="581">
        <f>IF(D15=1,D14/(380/3^0.5),(D14/(380*3^0.5)))*1000</f>
        <v>75.96714068284551</v>
      </c>
      <c r="E18" s="582"/>
      <c r="F18" s="436" t="s">
        <v>1453</v>
      </c>
      <c r="G18" s="441">
        <v>250</v>
      </c>
      <c r="I18" s="462" t="s">
        <v>1539</v>
      </c>
      <c r="J18" s="448" t="s">
        <v>9</v>
      </c>
      <c r="K18" s="585">
        <f>IF(K15=1,K14/(380/3^0.5),(K14/(380*3^0.5)))*1000</f>
        <v>151.93428136569102</v>
      </c>
      <c r="L18" s="586"/>
    </row>
    <row r="19" spans="1:12" ht="30" customHeight="1">
      <c r="A19" s="204"/>
      <c r="B19" s="469" t="s">
        <v>1531</v>
      </c>
      <c r="C19" s="447" t="s">
        <v>9</v>
      </c>
      <c r="D19" s="581">
        <f>IF(D15=1,D14/(380/3^0.5),(D14/(380*3^0.5)))</f>
        <v>7.5967140682845505E-2</v>
      </c>
      <c r="E19" s="582"/>
      <c r="F19" s="207"/>
      <c r="G19" s="432"/>
      <c r="I19" s="464" t="s">
        <v>1531</v>
      </c>
      <c r="J19" s="447" t="s">
        <v>9</v>
      </c>
      <c r="K19" s="585">
        <f>IF(K15=1,K14/(380/3^0.5),(K14/(380*3^0.5)))</f>
        <v>0.15193428136569101</v>
      </c>
      <c r="L19" s="586"/>
    </row>
    <row r="20" spans="1:12" ht="30" customHeight="1" thickBot="1">
      <c r="A20" s="204"/>
      <c r="B20" s="470" t="s">
        <v>1540</v>
      </c>
      <c r="C20" s="466" t="s">
        <v>9</v>
      </c>
      <c r="D20" s="577">
        <f>D16/D18</f>
        <v>0.94777820190168949</v>
      </c>
      <c r="E20" s="578"/>
      <c r="F20" s="207"/>
      <c r="G20" s="432"/>
      <c r="I20" s="465" t="s">
        <v>1531</v>
      </c>
      <c r="J20" s="466" t="s">
        <v>9</v>
      </c>
      <c r="K20" s="583">
        <f>K16/K18</f>
        <v>0.82499999999999996</v>
      </c>
      <c r="L20" s="584"/>
    </row>
    <row r="21" spans="1:12" ht="9.75" customHeight="1">
      <c r="A21" s="204"/>
      <c r="B21" s="455" t="s">
        <v>1540</v>
      </c>
      <c r="C21" s="456" t="s">
        <v>9</v>
      </c>
      <c r="D21" s="562">
        <v>1</v>
      </c>
      <c r="E21" s="562"/>
      <c r="F21" s="457"/>
      <c r="G21" s="458"/>
      <c r="H21" s="459"/>
      <c r="I21" s="455" t="s">
        <v>1531</v>
      </c>
      <c r="J21" s="456" t="s">
        <v>9</v>
      </c>
      <c r="K21" s="562">
        <v>1</v>
      </c>
      <c r="L21" s="562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1" priority="5" stopIfTrue="1" operator="greaterThan">
      <formula>0.89</formula>
    </cfRule>
    <cfRule type="cellIs" dxfId="2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abSelected="1" topLeftCell="A4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4"/>
      <c r="C1" s="604"/>
      <c r="D1" s="60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41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39729000</v>
      </c>
    </row>
    <row r="10" spans="2:11" ht="20.100000000000001" customHeight="1">
      <c r="B10" s="291" t="s">
        <v>1446</v>
      </c>
      <c r="C10" s="292" t="s">
        <v>9</v>
      </c>
      <c r="D10" s="298">
        <f ca="1">RAB!K57</f>
        <v>94385259.704999998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1887705.1941</v>
      </c>
    </row>
    <row r="12" spans="2:11" ht="9" customHeight="1">
      <c r="B12" s="605"/>
      <c r="C12" s="605"/>
      <c r="D12" s="605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1619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41.5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3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380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82.5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K13" sqref="K13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HERI SULISTYAWAN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1349</v>
      </c>
      <c r="C5" s="607" t="s">
        <v>1358</v>
      </c>
      <c r="D5" s="608" t="s">
        <v>1359</v>
      </c>
      <c r="E5" s="608" t="s">
        <v>1360</v>
      </c>
      <c r="F5" s="607" t="s">
        <v>1361</v>
      </c>
      <c r="G5" s="607"/>
      <c r="H5" s="607"/>
      <c r="I5" s="607"/>
      <c r="J5" s="607"/>
      <c r="K5" s="607" t="s">
        <v>1362</v>
      </c>
      <c r="L5" s="607"/>
      <c r="M5" s="307"/>
      <c r="N5" s="611" t="s">
        <v>1363</v>
      </c>
      <c r="O5" s="608" t="s">
        <v>1364</v>
      </c>
      <c r="P5" s="608" t="s">
        <v>1365</v>
      </c>
      <c r="Q5" s="608" t="s">
        <v>1366</v>
      </c>
      <c r="R5" s="308"/>
      <c r="S5" s="309"/>
      <c r="T5" s="609" t="s">
        <v>1367</v>
      </c>
      <c r="U5" s="310"/>
    </row>
    <row r="6" spans="1:21" ht="20.100000000000001" customHeight="1">
      <c r="B6" s="607"/>
      <c r="C6" s="607"/>
      <c r="D6" s="607"/>
      <c r="E6" s="60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2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6560</v>
      </c>
      <c r="D7" s="316">
        <f>C7*4/24</f>
        <v>1093.3333333333333</v>
      </c>
      <c r="E7" s="316">
        <f>C7-D7</f>
        <v>5466.666666666667</v>
      </c>
      <c r="F7" s="317">
        <f ca="1">DATA!D10/1000000</f>
        <v>94.385259704999996</v>
      </c>
      <c r="G7" s="318">
        <f ca="1">DATA!$D$11/1000000</f>
        <v>1.8877051941</v>
      </c>
      <c r="H7" s="318">
        <f>C7*DATA!$D$5/1000000</f>
        <v>7.1118603010159918</v>
      </c>
      <c r="I7" s="318">
        <f>(C7*DATA!$D$5*DATA!$D$7)/1000000</f>
        <v>0.16001685677285982</v>
      </c>
      <c r="J7" s="316">
        <f ca="1">SUM(F7:I7)</f>
        <v>103.54484205688884</v>
      </c>
      <c r="K7" s="319">
        <f>DATA!D9/1000000</f>
        <v>39.728999999999999</v>
      </c>
      <c r="L7" s="316">
        <f>((D7*DATA!$D$23)/1000000)+((E7*DATA!$D$24)/1000000)</f>
        <v>9.4772320000000008</v>
      </c>
      <c r="M7" s="316">
        <f>K7+L7</f>
        <v>49.206232</v>
      </c>
      <c r="N7" s="316">
        <f ca="1">M7-J7</f>
        <v>-54.338610056888839</v>
      </c>
      <c r="O7" s="314">
        <v>1</v>
      </c>
      <c r="P7" s="316">
        <f ca="1">O7*N7</f>
        <v>-54.338610056888839</v>
      </c>
      <c r="Q7" s="316">
        <f ca="1">P7</f>
        <v>-54.338610056888839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19680</v>
      </c>
      <c r="D8" s="316">
        <f>C8*4/24</f>
        <v>3280</v>
      </c>
      <c r="E8" s="316">
        <f t="shared" ref="E8:E32" si="0">C8-D8</f>
        <v>16400</v>
      </c>
      <c r="F8" s="314"/>
      <c r="G8" s="318">
        <f ca="1">DATA!$D$11/1000000</f>
        <v>1.8877051941</v>
      </c>
      <c r="H8" s="318">
        <f>C8*DATA!$D$5/1000000</f>
        <v>21.335580903047976</v>
      </c>
      <c r="I8" s="318">
        <f>(C8*DATA!$D$5*DATA!$D$7)/1000000</f>
        <v>0.48005057031857945</v>
      </c>
      <c r="J8" s="316">
        <f t="shared" ref="J8:J32" ca="1" si="1">SUM(F8:I8)</f>
        <v>23.703336667466555</v>
      </c>
      <c r="K8" s="321"/>
      <c r="L8" s="316">
        <f>((D8*DATA!$D$23)/1000000)+((E8*DATA!$D$24)/1000000)</f>
        <v>28.431695999999999</v>
      </c>
      <c r="M8" s="316">
        <f t="shared" ref="M8:M32" si="2">K8+L8</f>
        <v>28.431695999999999</v>
      </c>
      <c r="N8" s="316">
        <f ca="1">M8-J8</f>
        <v>4.7283593325334436</v>
      </c>
      <c r="O8" s="315">
        <f>1/(1+'[92]Asumsi I'!$C$3)^(KKF!A8)</f>
        <v>0.89285714285714279</v>
      </c>
      <c r="P8" s="316">
        <f ca="1">O8*N8</f>
        <v>4.221749404047717</v>
      </c>
      <c r="Q8" s="316">
        <f ca="1">Q7+P8</f>
        <v>-50.116860652841126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19680</v>
      </c>
      <c r="D9" s="316">
        <f t="shared" ref="D9:D32" si="5">C9*4/24</f>
        <v>3280</v>
      </c>
      <c r="E9" s="316">
        <f t="shared" si="0"/>
        <v>16400</v>
      </c>
      <c r="F9" s="314"/>
      <c r="G9" s="318">
        <f ca="1">DATA!$D$11/1000000</f>
        <v>1.8877051941</v>
      </c>
      <c r="H9" s="318">
        <f>C9*DATA!$D$5/1000000</f>
        <v>21.335580903047976</v>
      </c>
      <c r="I9" s="318">
        <f>(C9*DATA!$D$5*DATA!$D$7)/1000000</f>
        <v>0.48005057031857945</v>
      </c>
      <c r="J9" s="316">
        <f t="shared" ca="1" si="1"/>
        <v>23.703336667466555</v>
      </c>
      <c r="K9" s="316"/>
      <c r="L9" s="316">
        <f>((D9*DATA!$D$23)/1000000)+((E9*DATA!$D$24)/1000000)</f>
        <v>28.431695999999999</v>
      </c>
      <c r="M9" s="316">
        <f t="shared" si="2"/>
        <v>28.431695999999999</v>
      </c>
      <c r="N9" s="316">
        <f t="shared" ref="N9:N32" ca="1" si="6">M9-J9</f>
        <v>4.7283593325334436</v>
      </c>
      <c r="O9" s="322">
        <f>1/(1+'[92]Asumsi I'!$C$3)^(KKF!A9)</f>
        <v>0.79719387755102034</v>
      </c>
      <c r="P9" s="316">
        <f t="shared" ref="P9:P32" ca="1" si="7">O9*N9</f>
        <v>3.7694191107568904</v>
      </c>
      <c r="Q9" s="316">
        <f ca="1">Q8+P9</f>
        <v>-46.347441542084233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19680</v>
      </c>
      <c r="D10" s="316">
        <f t="shared" si="5"/>
        <v>3280</v>
      </c>
      <c r="E10" s="316">
        <f t="shared" si="0"/>
        <v>16400</v>
      </c>
      <c r="F10" s="314"/>
      <c r="G10" s="318">
        <f ca="1">DATA!$D$11/1000000</f>
        <v>1.8877051941</v>
      </c>
      <c r="H10" s="318">
        <f>C10*DATA!$D$5/1000000</f>
        <v>21.335580903047976</v>
      </c>
      <c r="I10" s="318">
        <f>(C10*DATA!$D$5*DATA!$D$7)/1000000</f>
        <v>0.48005057031857945</v>
      </c>
      <c r="J10" s="316">
        <f t="shared" ca="1" si="1"/>
        <v>23.703336667466555</v>
      </c>
      <c r="K10" s="314"/>
      <c r="L10" s="316">
        <f>((D10*DATA!$D$23)/1000000)+((E10*DATA!$D$24)/1000000)</f>
        <v>28.431695999999999</v>
      </c>
      <c r="M10" s="316">
        <f t="shared" si="2"/>
        <v>28.431695999999999</v>
      </c>
      <c r="N10" s="316">
        <f t="shared" ca="1" si="6"/>
        <v>4.7283593325334436</v>
      </c>
      <c r="O10" s="315">
        <f>1/(1+'[92]Asumsi I'!$C$3)^(KKF!A10)</f>
        <v>0.71178024781341087</v>
      </c>
      <c r="P10" s="316">
        <f t="shared" ca="1" si="7"/>
        <v>3.3655527774615086</v>
      </c>
      <c r="Q10" s="316">
        <f t="shared" ref="Q10:Q30" ca="1" si="9">Q9+P10</f>
        <v>-42.981888764622724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19680</v>
      </c>
      <c r="D11" s="316">
        <f t="shared" si="5"/>
        <v>3280</v>
      </c>
      <c r="E11" s="316">
        <f t="shared" si="0"/>
        <v>16400</v>
      </c>
      <c r="F11" s="314"/>
      <c r="G11" s="318">
        <f ca="1">DATA!$D$11/1000000</f>
        <v>1.8877051941</v>
      </c>
      <c r="H11" s="318">
        <f>C11*DATA!$D$5/1000000</f>
        <v>21.335580903047976</v>
      </c>
      <c r="I11" s="318">
        <f>(C11*DATA!$D$5*DATA!$D$7)/1000000</f>
        <v>0.48005057031857945</v>
      </c>
      <c r="J11" s="316">
        <f t="shared" ca="1" si="1"/>
        <v>23.703336667466555</v>
      </c>
      <c r="K11" s="314"/>
      <c r="L11" s="316">
        <f>((D11*DATA!$D$23)/1000000)+((E11*DATA!$D$24)/1000000)</f>
        <v>28.431695999999999</v>
      </c>
      <c r="M11" s="316">
        <f t="shared" si="2"/>
        <v>28.431695999999999</v>
      </c>
      <c r="N11" s="316">
        <f t="shared" ca="1" si="6"/>
        <v>4.7283593325334436</v>
      </c>
      <c r="O11" s="315">
        <f>1/(1+'[92]Asumsi I'!$C$3)^(KKF!A11)</f>
        <v>0.63551807840483121</v>
      </c>
      <c r="P11" s="316">
        <f t="shared" ca="1" si="7"/>
        <v>3.0049578370192043</v>
      </c>
      <c r="Q11" s="316">
        <f t="shared" ca="1" si="9"/>
        <v>-39.976930927603519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19680</v>
      </c>
      <c r="D12" s="316">
        <f t="shared" si="5"/>
        <v>3280</v>
      </c>
      <c r="E12" s="316">
        <f t="shared" si="0"/>
        <v>16400</v>
      </c>
      <c r="F12" s="314"/>
      <c r="G12" s="318">
        <f ca="1">DATA!$D$11/1000000</f>
        <v>1.8877051941</v>
      </c>
      <c r="H12" s="318">
        <f>C12*DATA!$D$5/1000000</f>
        <v>21.335580903047976</v>
      </c>
      <c r="I12" s="318">
        <f>(C12*DATA!$D$5*DATA!$D$7)/1000000</f>
        <v>0.48005057031857945</v>
      </c>
      <c r="J12" s="316">
        <f t="shared" ca="1" si="1"/>
        <v>23.703336667466555</v>
      </c>
      <c r="K12" s="314"/>
      <c r="L12" s="316">
        <f>((D12*DATA!$D$23)/1000000)+((E12*DATA!$D$24)/1000000)</f>
        <v>28.431695999999999</v>
      </c>
      <c r="M12" s="316">
        <f t="shared" si="2"/>
        <v>28.431695999999999</v>
      </c>
      <c r="N12" s="316">
        <f t="shared" ca="1" si="6"/>
        <v>4.7283593325334436</v>
      </c>
      <c r="O12" s="315">
        <f>1/(1+'[92]Asumsi I'!$C$3)^(KKF!A12)</f>
        <v>0.56742685571859919</v>
      </c>
      <c r="P12" s="316">
        <f t="shared" ca="1" si="7"/>
        <v>2.6829980687671462</v>
      </c>
      <c r="Q12" s="316">
        <f t="shared" ca="1" si="9"/>
        <v>-37.293932858836371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19680</v>
      </c>
      <c r="D13" s="316">
        <f t="shared" si="5"/>
        <v>3280</v>
      </c>
      <c r="E13" s="316">
        <f t="shared" si="0"/>
        <v>16400</v>
      </c>
      <c r="F13" s="314"/>
      <c r="G13" s="318">
        <f ca="1">DATA!$D$11/1000000</f>
        <v>1.8877051941</v>
      </c>
      <c r="H13" s="318">
        <f>C13*DATA!$D$5/1000000</f>
        <v>21.335580903047976</v>
      </c>
      <c r="I13" s="318">
        <f>(C13*DATA!$D$5*DATA!$D$7)/1000000</f>
        <v>0.48005057031857945</v>
      </c>
      <c r="J13" s="316">
        <f t="shared" ca="1" si="1"/>
        <v>23.703336667466555</v>
      </c>
      <c r="K13" s="314"/>
      <c r="L13" s="316">
        <f>((D13*DATA!$D$23)/1000000)+((E13*DATA!$D$24)/1000000)</f>
        <v>28.431695999999999</v>
      </c>
      <c r="M13" s="316">
        <f t="shared" si="2"/>
        <v>28.431695999999999</v>
      </c>
      <c r="N13" s="316">
        <f t="shared" ca="1" si="6"/>
        <v>4.7283593325334436</v>
      </c>
      <c r="O13" s="315">
        <f>1/(1+'[92]Asumsi I'!$C$3)^(KKF!A13)</f>
        <v>0.50663112117732068</v>
      </c>
      <c r="P13" s="316">
        <f t="shared" ca="1" si="7"/>
        <v>2.3955339899706662</v>
      </c>
      <c r="Q13" s="316">
        <f t="shared" ca="1" si="9"/>
        <v>-34.898398868865705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19680</v>
      </c>
      <c r="D14" s="316">
        <f t="shared" si="5"/>
        <v>3280</v>
      </c>
      <c r="E14" s="316">
        <f t="shared" si="0"/>
        <v>16400</v>
      </c>
      <c r="F14" s="314"/>
      <c r="G14" s="318">
        <f ca="1">DATA!$D$11/1000000</f>
        <v>1.8877051941</v>
      </c>
      <c r="H14" s="318">
        <f>C14*DATA!$D$5/1000000</f>
        <v>21.335580903047976</v>
      </c>
      <c r="I14" s="318">
        <f>(C14*DATA!$D$5*DATA!$D$7)/1000000</f>
        <v>0.48005057031857945</v>
      </c>
      <c r="J14" s="316">
        <f t="shared" ca="1" si="1"/>
        <v>23.703336667466555</v>
      </c>
      <c r="K14" s="314"/>
      <c r="L14" s="316">
        <f>((D14*DATA!$D$23)/1000000)+((E14*DATA!$D$24)/1000000)</f>
        <v>28.431695999999999</v>
      </c>
      <c r="M14" s="316">
        <f t="shared" si="2"/>
        <v>28.431695999999999</v>
      </c>
      <c r="N14" s="316">
        <f t="shared" ca="1" si="6"/>
        <v>4.7283593325334436</v>
      </c>
      <c r="O14" s="315">
        <f>1/(1+'[92]Asumsi I'!$C$3)^(KKF!A14)</f>
        <v>0.45234921533689343</v>
      </c>
      <c r="P14" s="316">
        <f t="shared" ca="1" si="7"/>
        <v>2.1388696339023805</v>
      </c>
      <c r="Q14" s="316">
        <f t="shared" ca="1" si="9"/>
        <v>-32.759529234963324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19680</v>
      </c>
      <c r="D15" s="316">
        <f t="shared" si="5"/>
        <v>3280</v>
      </c>
      <c r="E15" s="316">
        <f t="shared" si="0"/>
        <v>16400</v>
      </c>
      <c r="F15" s="314"/>
      <c r="G15" s="318">
        <f ca="1">DATA!$D$11/1000000</f>
        <v>1.8877051941</v>
      </c>
      <c r="H15" s="318">
        <f>C15*DATA!$D$5/1000000</f>
        <v>21.335580903047976</v>
      </c>
      <c r="I15" s="318">
        <f>(C15*DATA!$D$5*DATA!$D$7)/1000000</f>
        <v>0.48005057031857945</v>
      </c>
      <c r="J15" s="316">
        <f t="shared" ca="1" si="1"/>
        <v>23.703336667466555</v>
      </c>
      <c r="K15" s="314"/>
      <c r="L15" s="316">
        <f>((D15*DATA!$D$23)/1000000)+((E15*DATA!$D$24)/1000000)</f>
        <v>28.431695999999999</v>
      </c>
      <c r="M15" s="316">
        <f t="shared" si="2"/>
        <v>28.431695999999999</v>
      </c>
      <c r="N15" s="316">
        <f t="shared" ca="1" si="6"/>
        <v>4.7283593325334436</v>
      </c>
      <c r="O15" s="315">
        <f>1/(1+'[92]Asumsi I'!$C$3)^(KKF!A15)</f>
        <v>0.4038832279793691</v>
      </c>
      <c r="P15" s="316">
        <f t="shared" ca="1" si="7"/>
        <v>1.9097050302699823</v>
      </c>
      <c r="Q15" s="316">
        <f t="shared" ca="1" si="9"/>
        <v>-30.849824204693341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19680</v>
      </c>
      <c r="D16" s="316">
        <f t="shared" si="5"/>
        <v>3280</v>
      </c>
      <c r="E16" s="316">
        <f t="shared" si="0"/>
        <v>16400</v>
      </c>
      <c r="F16" s="314"/>
      <c r="G16" s="318">
        <f ca="1">DATA!$D$11/1000000</f>
        <v>1.8877051941</v>
      </c>
      <c r="H16" s="318">
        <f>C16*DATA!$D$5/1000000</f>
        <v>21.335580903047976</v>
      </c>
      <c r="I16" s="318">
        <f>(C16*DATA!$D$5*DATA!$D$7)/1000000</f>
        <v>0.48005057031857945</v>
      </c>
      <c r="J16" s="316">
        <f t="shared" ca="1" si="1"/>
        <v>23.703336667466555</v>
      </c>
      <c r="K16" s="314"/>
      <c r="L16" s="316">
        <f>((D16*DATA!$D$23)/1000000)+((E16*DATA!$D$24)/1000000)</f>
        <v>28.431695999999999</v>
      </c>
      <c r="M16" s="316">
        <f t="shared" si="2"/>
        <v>28.431695999999999</v>
      </c>
      <c r="N16" s="316">
        <f t="shared" ca="1" si="6"/>
        <v>4.7283593325334436</v>
      </c>
      <c r="O16" s="315">
        <f>1/(1+'[92]Asumsi I'!$C$3)^(KKF!A16)</f>
        <v>0.36061002498157957</v>
      </c>
      <c r="P16" s="316">
        <f t="shared" ca="1" si="7"/>
        <v>1.70509377702677</v>
      </c>
      <c r="Q16" s="316">
        <f t="shared" ca="1" si="9"/>
        <v>-29.14473042766657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19680</v>
      </c>
      <c r="D17" s="316">
        <f t="shared" si="5"/>
        <v>3280</v>
      </c>
      <c r="E17" s="316">
        <f t="shared" si="0"/>
        <v>16400</v>
      </c>
      <c r="F17" s="314"/>
      <c r="G17" s="318">
        <f ca="1">DATA!$D$11/1000000</f>
        <v>1.8877051941</v>
      </c>
      <c r="H17" s="318">
        <f>C17*DATA!$D$5/1000000</f>
        <v>21.335580903047976</v>
      </c>
      <c r="I17" s="318">
        <f>(C17*DATA!$D$5*DATA!$D$7)/1000000</f>
        <v>0.48005057031857945</v>
      </c>
      <c r="J17" s="316">
        <f t="shared" ca="1" si="1"/>
        <v>23.703336667466555</v>
      </c>
      <c r="K17" s="314"/>
      <c r="L17" s="316">
        <f>((D17*DATA!$D$23)/1000000)+((E17*DATA!$D$24)/1000000)</f>
        <v>28.431695999999999</v>
      </c>
      <c r="M17" s="316">
        <f t="shared" si="2"/>
        <v>28.431695999999999</v>
      </c>
      <c r="N17" s="316">
        <f t="shared" ca="1" si="6"/>
        <v>4.7283593325334436</v>
      </c>
      <c r="O17" s="315">
        <f>1/(1+'[92]Asumsi I'!$C$3)^(KKF!A17)</f>
        <v>0.32197323659069599</v>
      </c>
      <c r="P17" s="316">
        <f t="shared" ca="1" si="7"/>
        <v>1.5224051580596158</v>
      </c>
      <c r="Q17" s="316">
        <f t="shared" ca="1" si="9"/>
        <v>-27.622325269606954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19680</v>
      </c>
      <c r="D18" s="316">
        <f t="shared" si="5"/>
        <v>3280</v>
      </c>
      <c r="E18" s="316">
        <f t="shared" si="0"/>
        <v>16400</v>
      </c>
      <c r="F18" s="314"/>
      <c r="G18" s="318">
        <f ca="1">DATA!$D$11/1000000</f>
        <v>1.8877051941</v>
      </c>
      <c r="H18" s="318">
        <f>C18*DATA!$D$5/1000000</f>
        <v>21.335580903047976</v>
      </c>
      <c r="I18" s="318">
        <f>(C18*DATA!$D$5*DATA!$D$7)/1000000</f>
        <v>0.48005057031857945</v>
      </c>
      <c r="J18" s="316">
        <f t="shared" ca="1" si="1"/>
        <v>23.703336667466555</v>
      </c>
      <c r="K18" s="314"/>
      <c r="L18" s="316">
        <f>((D18*DATA!$D$23)/1000000)+((E18*DATA!$D$24)/1000000)</f>
        <v>28.431695999999999</v>
      </c>
      <c r="M18" s="316">
        <f t="shared" si="2"/>
        <v>28.431695999999999</v>
      </c>
      <c r="N18" s="316">
        <f t="shared" ca="1" si="6"/>
        <v>4.7283593325334436</v>
      </c>
      <c r="O18" s="315">
        <f>1/(1+'[92]Asumsi I'!$C$3)^(KKF!A18)</f>
        <v>0.28747610409883567</v>
      </c>
      <c r="P18" s="316">
        <f t="shared" ca="1" si="7"/>
        <v>1.3592903196960855</v>
      </c>
      <c r="Q18" s="316">
        <f t="shared" ca="1" si="9"/>
        <v>-26.263034949910868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19680</v>
      </c>
      <c r="D19" s="316">
        <f t="shared" si="5"/>
        <v>3280</v>
      </c>
      <c r="E19" s="316">
        <f t="shared" si="0"/>
        <v>16400</v>
      </c>
      <c r="F19" s="314"/>
      <c r="G19" s="318">
        <f ca="1">DATA!$D$11/1000000</f>
        <v>1.8877051941</v>
      </c>
      <c r="H19" s="318">
        <f>C19*DATA!$D$5/1000000</f>
        <v>21.335580903047976</v>
      </c>
      <c r="I19" s="318">
        <f>(C19*DATA!$D$5*DATA!$D$7)/1000000</f>
        <v>0.48005057031857945</v>
      </c>
      <c r="J19" s="316">
        <f t="shared" ca="1" si="1"/>
        <v>23.703336667466555</v>
      </c>
      <c r="K19" s="314"/>
      <c r="L19" s="316">
        <f>((D19*DATA!$D$23)/1000000)+((E19*DATA!$D$24)/1000000)</f>
        <v>28.431695999999999</v>
      </c>
      <c r="M19" s="316">
        <f t="shared" si="2"/>
        <v>28.431695999999999</v>
      </c>
      <c r="N19" s="316">
        <f t="shared" ca="1" si="6"/>
        <v>4.7283593325334436</v>
      </c>
      <c r="O19" s="315">
        <f>1/(1+'[92]Asumsi I'!$C$3)^(KKF!A19)</f>
        <v>0.25667509294538904</v>
      </c>
      <c r="P19" s="316">
        <f t="shared" ca="1" si="7"/>
        <v>1.2136520711572194</v>
      </c>
      <c r="Q19" s="316">
        <f t="shared" ca="1" si="9"/>
        <v>-25.049382878753647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19680</v>
      </c>
      <c r="D20" s="316">
        <f t="shared" si="5"/>
        <v>3280</v>
      </c>
      <c r="E20" s="316">
        <f t="shared" si="0"/>
        <v>16400</v>
      </c>
      <c r="F20" s="314"/>
      <c r="G20" s="318">
        <f ca="1">DATA!$D$11/1000000</f>
        <v>1.8877051941</v>
      </c>
      <c r="H20" s="318">
        <f>C20*DATA!$D$5/1000000</f>
        <v>21.335580903047976</v>
      </c>
      <c r="I20" s="318">
        <f>(C20*DATA!$D$5*DATA!$D$7)/1000000</f>
        <v>0.48005057031857945</v>
      </c>
      <c r="J20" s="316">
        <f t="shared" ca="1" si="1"/>
        <v>23.703336667466555</v>
      </c>
      <c r="K20" s="314"/>
      <c r="L20" s="316">
        <f>((D20*DATA!$D$23)/1000000)+((E20*DATA!$D$24)/1000000)</f>
        <v>28.431695999999999</v>
      </c>
      <c r="M20" s="316">
        <f t="shared" si="2"/>
        <v>28.431695999999999</v>
      </c>
      <c r="N20" s="316">
        <f t="shared" ca="1" si="6"/>
        <v>4.7283593325334436</v>
      </c>
      <c r="O20" s="315">
        <f>1/(1+'[92]Asumsi I'!$C$3)^(KKF!A20)</f>
        <v>0.22917419012981158</v>
      </c>
      <c r="P20" s="316">
        <f t="shared" ca="1" si="7"/>
        <v>1.0836179206760883</v>
      </c>
      <c r="Q20" s="316">
        <f t="shared" ca="1" si="9"/>
        <v>-23.96576495807756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19680</v>
      </c>
      <c r="D21" s="316">
        <f t="shared" si="5"/>
        <v>3280</v>
      </c>
      <c r="E21" s="316">
        <f t="shared" si="0"/>
        <v>16400</v>
      </c>
      <c r="F21" s="314"/>
      <c r="G21" s="318">
        <f ca="1">DATA!$D$11/1000000</f>
        <v>1.8877051941</v>
      </c>
      <c r="H21" s="318">
        <f>C21*DATA!$D$5/1000000</f>
        <v>21.335580903047976</v>
      </c>
      <c r="I21" s="318">
        <f>(C21*DATA!$D$5*DATA!$D$7)/1000000</f>
        <v>0.48005057031857945</v>
      </c>
      <c r="J21" s="316">
        <f t="shared" ca="1" si="1"/>
        <v>23.703336667466555</v>
      </c>
      <c r="K21" s="314"/>
      <c r="L21" s="316">
        <f>((D21*DATA!$D$23)/1000000)+((E21*DATA!$D$24)/1000000)</f>
        <v>28.431695999999999</v>
      </c>
      <c r="M21" s="316">
        <f t="shared" si="2"/>
        <v>28.431695999999999</v>
      </c>
      <c r="N21" s="316">
        <f t="shared" ca="1" si="6"/>
        <v>4.7283593325334436</v>
      </c>
      <c r="O21" s="315">
        <f>1/(1+'[92]Asumsi I'!$C$3)^(KKF!A21)</f>
        <v>0.20461981261590317</v>
      </c>
      <c r="P21" s="316">
        <f t="shared" ca="1" si="7"/>
        <v>0.96751600060365028</v>
      </c>
      <c r="Q21" s="316">
        <f t="shared" ca="1" si="9"/>
        <v>-22.998248957473912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19680</v>
      </c>
      <c r="D22" s="316">
        <f t="shared" si="5"/>
        <v>3280</v>
      </c>
      <c r="E22" s="316">
        <f t="shared" si="0"/>
        <v>16400</v>
      </c>
      <c r="F22" s="314"/>
      <c r="G22" s="318">
        <f ca="1">DATA!$D$11/1000000</f>
        <v>1.8877051941</v>
      </c>
      <c r="H22" s="318">
        <f>C22*DATA!$D$5/1000000</f>
        <v>21.335580903047976</v>
      </c>
      <c r="I22" s="318">
        <f>(C22*DATA!$D$5*DATA!$D$7)/1000000</f>
        <v>0.48005057031857945</v>
      </c>
      <c r="J22" s="316">
        <f t="shared" ca="1" si="1"/>
        <v>23.703336667466555</v>
      </c>
      <c r="K22" s="314"/>
      <c r="L22" s="316">
        <f>((D22*DATA!$D$23)/1000000)+((E22*DATA!$D$24)/1000000)</f>
        <v>28.431695999999999</v>
      </c>
      <c r="M22" s="316">
        <f t="shared" si="2"/>
        <v>28.431695999999999</v>
      </c>
      <c r="N22" s="316">
        <f t="shared" ca="1" si="6"/>
        <v>4.7283593325334436</v>
      </c>
      <c r="O22" s="315">
        <f>1/(1+'[92]Asumsi I'!$C$3)^(KKF!A22)</f>
        <v>0.18269626126419927</v>
      </c>
      <c r="P22" s="316">
        <f t="shared" ca="1" si="7"/>
        <v>0.86385357196754486</v>
      </c>
      <c r="Q22" s="316">
        <f t="shared" ca="1" si="9"/>
        <v>-22.134395385506366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19680</v>
      </c>
      <c r="D23" s="316">
        <f t="shared" si="5"/>
        <v>3280</v>
      </c>
      <c r="E23" s="316">
        <f t="shared" si="0"/>
        <v>16400</v>
      </c>
      <c r="F23" s="314"/>
      <c r="G23" s="318">
        <f ca="1">DATA!$D$11/1000000</f>
        <v>1.8877051941</v>
      </c>
      <c r="H23" s="318">
        <f>C23*DATA!$D$5/1000000</f>
        <v>21.335580903047976</v>
      </c>
      <c r="I23" s="318">
        <f>(C23*DATA!$D$5*DATA!$D$7)/1000000</f>
        <v>0.48005057031857945</v>
      </c>
      <c r="J23" s="316">
        <f t="shared" ca="1" si="1"/>
        <v>23.703336667466555</v>
      </c>
      <c r="K23" s="314"/>
      <c r="L23" s="316">
        <f>((D23*DATA!$D$23)/1000000)+((E23*DATA!$D$24)/1000000)</f>
        <v>28.431695999999999</v>
      </c>
      <c r="M23" s="316">
        <f t="shared" si="2"/>
        <v>28.431695999999999</v>
      </c>
      <c r="N23" s="316">
        <f t="shared" ca="1" si="6"/>
        <v>4.7283593325334436</v>
      </c>
      <c r="O23" s="315">
        <f>1/(1+'[92]Asumsi I'!$C$3)^(KKF!A23)</f>
        <v>0.16312166184303503</v>
      </c>
      <c r="P23" s="316">
        <f t="shared" ca="1" si="7"/>
        <v>0.77129783211387926</v>
      </c>
      <c r="Q23" s="316">
        <f t="shared" ca="1" si="9"/>
        <v>-21.363097553392485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19680</v>
      </c>
      <c r="D24" s="316">
        <f t="shared" si="5"/>
        <v>3280</v>
      </c>
      <c r="E24" s="316">
        <f t="shared" si="0"/>
        <v>16400</v>
      </c>
      <c r="F24" s="314"/>
      <c r="G24" s="318">
        <f ca="1">DATA!$D$11/1000000</f>
        <v>1.8877051941</v>
      </c>
      <c r="H24" s="318">
        <f>C24*DATA!$D$5/1000000</f>
        <v>21.335580903047976</v>
      </c>
      <c r="I24" s="318">
        <f>(C24*DATA!$D$5*DATA!$D$7)/1000000</f>
        <v>0.48005057031857945</v>
      </c>
      <c r="J24" s="316">
        <f t="shared" ca="1" si="1"/>
        <v>23.703336667466555</v>
      </c>
      <c r="K24" s="314"/>
      <c r="L24" s="316">
        <f>((D24*DATA!$D$23)/1000000)+((E24*DATA!$D$24)/1000000)</f>
        <v>28.431695999999999</v>
      </c>
      <c r="M24" s="316">
        <f t="shared" si="2"/>
        <v>28.431695999999999</v>
      </c>
      <c r="N24" s="316">
        <f t="shared" ca="1" si="6"/>
        <v>4.7283593325334436</v>
      </c>
      <c r="O24" s="315">
        <f>1/(1+'[92]Asumsi I'!$C$3)^(KKF!A24)</f>
        <v>0.14564434093128129</v>
      </c>
      <c r="P24" s="316">
        <f t="shared" ca="1" si="7"/>
        <v>0.68865877867310643</v>
      </c>
      <c r="Q24" s="316">
        <f t="shared" ca="1" si="9"/>
        <v>-20.674438774719381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19680</v>
      </c>
      <c r="D25" s="316">
        <f t="shared" si="5"/>
        <v>3280</v>
      </c>
      <c r="E25" s="316">
        <f t="shared" si="0"/>
        <v>16400</v>
      </c>
      <c r="F25" s="314"/>
      <c r="G25" s="318">
        <f ca="1">DATA!$D$11/1000000</f>
        <v>1.8877051941</v>
      </c>
      <c r="H25" s="318">
        <f>C25*DATA!$D$5/1000000</f>
        <v>21.335580903047976</v>
      </c>
      <c r="I25" s="318">
        <f>(C25*DATA!$D$5*DATA!$D$7)/1000000</f>
        <v>0.48005057031857945</v>
      </c>
      <c r="J25" s="316">
        <f t="shared" ca="1" si="1"/>
        <v>23.703336667466555</v>
      </c>
      <c r="K25" s="314"/>
      <c r="L25" s="316">
        <f>((D25*DATA!$D$23)/1000000)+((E25*DATA!$D$24)/1000000)</f>
        <v>28.431695999999999</v>
      </c>
      <c r="M25" s="316">
        <f t="shared" si="2"/>
        <v>28.431695999999999</v>
      </c>
      <c r="N25" s="316">
        <f t="shared" ca="1" si="6"/>
        <v>4.7283593325334436</v>
      </c>
      <c r="O25" s="315">
        <f>1/(1+'[92]Asumsi I'!$C$3)^(KKF!A25)</f>
        <v>0.13003959011721541</v>
      </c>
      <c r="P25" s="316">
        <f t="shared" ca="1" si="7"/>
        <v>0.61487390952955923</v>
      </c>
      <c r="Q25" s="316">
        <f t="shared" ca="1" si="9"/>
        <v>-20.05956486518982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19680</v>
      </c>
      <c r="D26" s="316">
        <f t="shared" si="5"/>
        <v>3280</v>
      </c>
      <c r="E26" s="316">
        <f t="shared" si="0"/>
        <v>16400</v>
      </c>
      <c r="F26" s="314"/>
      <c r="G26" s="318">
        <f ca="1">DATA!$D$11/1000000</f>
        <v>1.8877051941</v>
      </c>
      <c r="H26" s="318">
        <f>C26*DATA!$D$5/1000000</f>
        <v>21.335580903047976</v>
      </c>
      <c r="I26" s="318">
        <f>(C26*DATA!$D$5*DATA!$D$7)/1000000</f>
        <v>0.48005057031857945</v>
      </c>
      <c r="J26" s="316">
        <f t="shared" ca="1" si="1"/>
        <v>23.703336667466555</v>
      </c>
      <c r="K26" s="314"/>
      <c r="L26" s="316">
        <f>((D26*DATA!$D$23)/1000000)+((E26*DATA!$D$24)/1000000)</f>
        <v>28.431695999999999</v>
      </c>
      <c r="M26" s="316">
        <f t="shared" si="2"/>
        <v>28.431695999999999</v>
      </c>
      <c r="N26" s="316">
        <f t="shared" ca="1" si="6"/>
        <v>4.7283593325334436</v>
      </c>
      <c r="O26" s="315">
        <f>1/(1+'[92]Asumsi I'!$C$3)^(KKF!A26)</f>
        <v>0.1161067768903709</v>
      </c>
      <c r="P26" s="316">
        <f t="shared" ca="1" si="7"/>
        <v>0.54899456207996356</v>
      </c>
      <c r="Q26" s="316">
        <f t="shared" ca="1" si="9"/>
        <v>-19.510570303109855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19680</v>
      </c>
      <c r="D27" s="316">
        <f t="shared" si="5"/>
        <v>3280</v>
      </c>
      <c r="E27" s="316">
        <f t="shared" si="0"/>
        <v>16400</v>
      </c>
      <c r="F27" s="314"/>
      <c r="G27" s="318">
        <f ca="1">DATA!$D$11/1000000</f>
        <v>1.8877051941</v>
      </c>
      <c r="H27" s="318">
        <f>C27*DATA!$D$5/1000000</f>
        <v>21.335580903047976</v>
      </c>
      <c r="I27" s="318">
        <f>(C27*DATA!$D$5*DATA!$D$7)/1000000</f>
        <v>0.48005057031857945</v>
      </c>
      <c r="J27" s="316">
        <f t="shared" ca="1" si="1"/>
        <v>23.703336667466555</v>
      </c>
      <c r="K27" s="314"/>
      <c r="L27" s="316">
        <f>((D27*DATA!$D$23)/1000000)+((E27*DATA!$D$24)/1000000)</f>
        <v>28.431695999999999</v>
      </c>
      <c r="M27" s="316">
        <f t="shared" si="2"/>
        <v>28.431695999999999</v>
      </c>
      <c r="N27" s="316">
        <f t="shared" ca="1" si="6"/>
        <v>4.7283593325334436</v>
      </c>
      <c r="O27" s="315">
        <f>1/(1+'[92]Asumsi I'!$C$3)^(KKF!A27)</f>
        <v>0.1036667650806883</v>
      </c>
      <c r="P27" s="316">
        <f t="shared" ca="1" si="7"/>
        <v>0.49017371614282462</v>
      </c>
      <c r="Q27" s="316">
        <f t="shared" ca="1" si="9"/>
        <v>-19.020396586967031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19680</v>
      </c>
      <c r="D28" s="316">
        <f t="shared" si="5"/>
        <v>3280</v>
      </c>
      <c r="E28" s="316">
        <f t="shared" si="0"/>
        <v>16400</v>
      </c>
      <c r="F28" s="314"/>
      <c r="G28" s="318">
        <f ca="1">DATA!$D$11/1000000</f>
        <v>1.8877051941</v>
      </c>
      <c r="H28" s="318">
        <f>C28*DATA!$D$5/1000000</f>
        <v>21.335580903047976</v>
      </c>
      <c r="I28" s="318">
        <f>(C28*DATA!$D$5*DATA!$D$7)/1000000</f>
        <v>0.48005057031857945</v>
      </c>
      <c r="J28" s="316">
        <f t="shared" ca="1" si="1"/>
        <v>23.703336667466555</v>
      </c>
      <c r="K28" s="314"/>
      <c r="L28" s="316">
        <f>((D28*DATA!$D$23)/1000000)+((E28*DATA!$D$24)/1000000)</f>
        <v>28.431695999999999</v>
      </c>
      <c r="M28" s="316">
        <f t="shared" si="2"/>
        <v>28.431695999999999</v>
      </c>
      <c r="N28" s="316">
        <f t="shared" ca="1" si="6"/>
        <v>4.7283593325334436</v>
      </c>
      <c r="O28" s="315">
        <f>1/(1+'[92]Asumsi I'!$C$3)^(KKF!A28)</f>
        <v>9.2559611679185971E-2</v>
      </c>
      <c r="P28" s="316">
        <f t="shared" ca="1" si="7"/>
        <v>0.4376551036989505</v>
      </c>
      <c r="Q28" s="316">
        <f t="shared" ca="1" si="9"/>
        <v>-18.58274148326808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19680</v>
      </c>
      <c r="D29" s="316">
        <f t="shared" si="5"/>
        <v>3280</v>
      </c>
      <c r="E29" s="316">
        <f t="shared" si="0"/>
        <v>16400</v>
      </c>
      <c r="F29" s="314"/>
      <c r="G29" s="318">
        <f ca="1">DATA!$D$11/1000000</f>
        <v>1.8877051941</v>
      </c>
      <c r="H29" s="318">
        <f>C29*DATA!$D$5/1000000</f>
        <v>21.335580903047976</v>
      </c>
      <c r="I29" s="318">
        <f>(C29*DATA!$D$5*DATA!$D$7)/1000000</f>
        <v>0.48005057031857945</v>
      </c>
      <c r="J29" s="316">
        <f t="shared" ca="1" si="1"/>
        <v>23.703336667466555</v>
      </c>
      <c r="K29" s="314"/>
      <c r="L29" s="316">
        <f>((D29*DATA!$D$23)/1000000)+((E29*DATA!$D$24)/1000000)</f>
        <v>28.431695999999999</v>
      </c>
      <c r="M29" s="316">
        <f t="shared" si="2"/>
        <v>28.431695999999999</v>
      </c>
      <c r="N29" s="316">
        <f t="shared" ca="1" si="6"/>
        <v>4.7283593325334436</v>
      </c>
      <c r="O29" s="315">
        <f>1/(1+'[92]Asumsi I'!$C$3)^(KKF!A29)</f>
        <v>8.2642510427844609E-2</v>
      </c>
      <c r="P29" s="316">
        <f t="shared" ca="1" si="7"/>
        <v>0.3907634854454915</v>
      </c>
      <c r="Q29" s="316">
        <f t="shared" ca="1" si="9"/>
        <v>-18.19197799782259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19680</v>
      </c>
      <c r="D30" s="316">
        <f t="shared" si="5"/>
        <v>3280</v>
      </c>
      <c r="E30" s="316">
        <f t="shared" si="0"/>
        <v>16400</v>
      </c>
      <c r="F30" s="314"/>
      <c r="G30" s="318">
        <f ca="1">DATA!$D$11/1000000</f>
        <v>1.8877051941</v>
      </c>
      <c r="H30" s="318">
        <f>C30*DATA!$D$5/1000000</f>
        <v>21.335580903047976</v>
      </c>
      <c r="I30" s="318">
        <f>(C30*DATA!$D$5*DATA!$D$7)/1000000</f>
        <v>0.48005057031857945</v>
      </c>
      <c r="J30" s="316">
        <f t="shared" ca="1" si="1"/>
        <v>23.703336667466555</v>
      </c>
      <c r="K30" s="314"/>
      <c r="L30" s="316">
        <f>((D30*DATA!$D$23)/1000000)+((E30*DATA!$D$24)/1000000)</f>
        <v>28.431695999999999</v>
      </c>
      <c r="M30" s="316">
        <f t="shared" si="2"/>
        <v>28.431695999999999</v>
      </c>
      <c r="N30" s="316">
        <f t="shared" ca="1" si="6"/>
        <v>4.7283593325334436</v>
      </c>
      <c r="O30" s="315">
        <f>1/(1+'[92]Asumsi I'!$C$3)^(KKF!A30)</f>
        <v>7.3787955739146982E-2</v>
      </c>
      <c r="P30" s="316">
        <f t="shared" ca="1" si="7"/>
        <v>0.34889596914776033</v>
      </c>
      <c r="Q30" s="316">
        <f t="shared" ca="1" si="9"/>
        <v>-17.843082028674829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19680</v>
      </c>
      <c r="D31" s="316">
        <f t="shared" si="5"/>
        <v>3280</v>
      </c>
      <c r="E31" s="316">
        <f t="shared" si="0"/>
        <v>16400</v>
      </c>
      <c r="F31" s="314"/>
      <c r="G31" s="318">
        <f ca="1">DATA!$D$11/1000000</f>
        <v>1.8877051941</v>
      </c>
      <c r="H31" s="318">
        <f>C31*DATA!$D$5/1000000</f>
        <v>21.335580903047976</v>
      </c>
      <c r="I31" s="318">
        <f>(C31*DATA!$D$5*DATA!$D$7)/1000000</f>
        <v>0.48005057031857945</v>
      </c>
      <c r="J31" s="316">
        <f t="shared" ca="1" si="1"/>
        <v>23.703336667466555</v>
      </c>
      <c r="K31" s="314"/>
      <c r="L31" s="316">
        <f>((D31*DATA!$D$23)/1000000)+((E31*DATA!$D$24)/1000000)</f>
        <v>28.431695999999999</v>
      </c>
      <c r="M31" s="316">
        <f t="shared" si="2"/>
        <v>28.431695999999999</v>
      </c>
      <c r="N31" s="316">
        <f t="shared" ca="1" si="6"/>
        <v>4.7283593325334436</v>
      </c>
      <c r="O31" s="315">
        <f>1/(1+'[92]Asumsi I'!$C$3)^(KKF!A31)</f>
        <v>6.5882103338524081E-2</v>
      </c>
      <c r="P31" s="316">
        <f t="shared" ca="1" si="7"/>
        <v>0.31151425816764311</v>
      </c>
      <c r="Q31" s="316">
        <f ca="1">Q30+P31</f>
        <v>-17.531567770507184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19680</v>
      </c>
      <c r="D32" s="316">
        <f t="shared" si="5"/>
        <v>3280</v>
      </c>
      <c r="E32" s="316">
        <f t="shared" si="0"/>
        <v>16400</v>
      </c>
      <c r="F32" s="314"/>
      <c r="G32" s="318">
        <f ca="1">DATA!$D$11/1000000</f>
        <v>1.8877051941</v>
      </c>
      <c r="H32" s="318">
        <f>C32*DATA!$D$5/1000000</f>
        <v>21.335580903047976</v>
      </c>
      <c r="I32" s="318">
        <f>(C32*DATA!$D$5*DATA!$D$7)/1000000</f>
        <v>0.48005057031857945</v>
      </c>
      <c r="J32" s="316">
        <f t="shared" ca="1" si="1"/>
        <v>23.703336667466555</v>
      </c>
      <c r="K32" s="314"/>
      <c r="L32" s="316">
        <f>((D32*DATA!$D$23)/1000000)+((E32*DATA!$D$24)/1000000)</f>
        <v>28.431695999999999</v>
      </c>
      <c r="M32" s="316">
        <f t="shared" si="2"/>
        <v>28.431695999999999</v>
      </c>
      <c r="N32" s="316">
        <f t="shared" ca="1" si="6"/>
        <v>4.7283593325334436</v>
      </c>
      <c r="O32" s="315">
        <f>1/(1+'[92]Asumsi I'!$C$3)^(KKF!A32)</f>
        <v>5.8823306552253637E-2</v>
      </c>
      <c r="P32" s="316">
        <f t="shared" ca="1" si="7"/>
        <v>0.27813773050682417</v>
      </c>
      <c r="Q32" s="316">
        <f ca="1">Q31+P32</f>
        <v>-17.25343004000036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1374</v>
      </c>
      <c r="G33" s="610"/>
      <c r="H33" s="610"/>
      <c r="I33" s="324"/>
      <c r="J33" s="325">
        <f ca="1">SUM(J7:J32)</f>
        <v>696.12825874355292</v>
      </c>
      <c r="K33" s="610" t="s">
        <v>1375</v>
      </c>
      <c r="L33" s="610"/>
      <c r="M33" s="325">
        <f>SUM(M7:M32)</f>
        <v>759.99863199999982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21.898682983852193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1.0917508698350029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-15.404848250000326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7.1555737965552035E-2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9" priority="1" stopIfTrue="1" operator="greaterThanOrEqual">
      <formula>$F$7</formula>
    </cfRule>
    <cfRule type="cellIs" dxfId="18" priority="2" stopIfTrue="1" operator="lessThan">
      <formula>$F$7</formula>
    </cfRule>
  </conditionalFormatting>
  <conditionalFormatting sqref="Q7:Q32">
    <cfRule type="cellIs" dxfId="17" priority="3" operator="lessThan">
      <formula>0</formula>
    </cfRule>
    <cfRule type="cellIs" dxfId="16" priority="4" operator="lessThan">
      <formula>0</formula>
    </cfRule>
    <cfRule type="cellIs" dxfId="15" priority="5" operator="lessThan">
      <formula>-6395.81</formula>
    </cfRule>
    <cfRule type="cellIs" dxfId="1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72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G63" sqref="G6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3" t="s">
        <v>1036</v>
      </c>
      <c r="P3" s="613"/>
      <c r="Q3" s="346"/>
      <c r="T3" s="344"/>
      <c r="U3" s="345" t="s">
        <v>1041</v>
      </c>
      <c r="V3" s="344"/>
    </row>
    <row r="4" spans="1:22" ht="18.75">
      <c r="B4" s="614" t="s">
        <v>1023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0" t="str">
        <f>DATA!D14</f>
        <v>HERI SULISTYAWAN</v>
      </c>
      <c r="H6" s="630"/>
      <c r="I6" s="630"/>
      <c r="J6" s="630"/>
      <c r="K6" s="63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6" t="s">
        <v>0</v>
      </c>
      <c r="C11" s="618" t="s">
        <v>1</v>
      </c>
      <c r="D11" s="621" t="s">
        <v>42</v>
      </c>
      <c r="E11" s="621" t="s">
        <v>43</v>
      </c>
      <c r="F11" s="621" t="s">
        <v>2</v>
      </c>
      <c r="G11" s="623" t="s">
        <v>41</v>
      </c>
      <c r="H11" s="621" t="s">
        <v>3</v>
      </c>
      <c r="I11" s="621"/>
      <c r="J11" s="621"/>
      <c r="K11" s="640"/>
      <c r="O11" s="351"/>
      <c r="P11" s="352"/>
      <c r="Q11" s="351"/>
      <c r="S11" s="353"/>
      <c r="T11" s="354"/>
      <c r="U11" s="354"/>
      <c r="V11" s="354"/>
    </row>
    <row r="12" spans="1:22">
      <c r="B12" s="617"/>
      <c r="C12" s="619"/>
      <c r="D12" s="622"/>
      <c r="E12" s="622"/>
      <c r="F12" s="622"/>
      <c r="G12" s="624"/>
      <c r="H12" s="626" t="s">
        <v>46</v>
      </c>
      <c r="I12" s="626" t="s">
        <v>5</v>
      </c>
      <c r="J12" s="622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7"/>
      <c r="C13" s="620"/>
      <c r="D13" s="622"/>
      <c r="E13" s="622"/>
      <c r="F13" s="622"/>
      <c r="G13" s="625"/>
      <c r="H13" s="627"/>
      <c r="I13" s="627"/>
      <c r="J13" s="622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1612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1625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2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15" customHeight="1">
      <c r="B18" s="504">
        <v>1</v>
      </c>
      <c r="C18" s="490" t="s">
        <v>1196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2">
        <v>1</v>
      </c>
      <c r="G18" s="360">
        <f ca="1">IF(ISERROR(OFFSET('HARGA SATUAN'!$I$6,MATCH(RAB!C18,'HARGA SATUAN'!$C$7:$C$1492,0),0)),0,OFFSET('HARGA SATUAN'!$I$6,MATCH(RAB!C18,'HARGA SATUAN'!$C$7:$C$1492,0),0))</f>
        <v>1504200</v>
      </c>
      <c r="H18" s="361">
        <f t="shared" ca="1" si="8"/>
        <v>1504200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1504200</v>
      </c>
    </row>
    <row r="19" spans="2:11">
      <c r="B19" s="504">
        <v>2</v>
      </c>
      <c r="C19" s="505" t="s">
        <v>517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2">
        <v>1</v>
      </c>
      <c r="G19" s="360">
        <f ca="1">IF(ISERROR(OFFSET('HARGA SATUAN'!$I$6,MATCH(RAB!C19,'HARGA SATUAN'!$C$7:$C$1492,0),0)),0,OFFSET('HARGA SATUAN'!$I$6,MATCH(RAB!C19,'HARGA SATUAN'!$C$7:$C$1492,0),0))</f>
        <v>14217900</v>
      </c>
      <c r="H19" s="361">
        <f t="shared" ca="1" si="8"/>
        <v>14217900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14217900</v>
      </c>
    </row>
    <row r="20" spans="2:11">
      <c r="B20" s="504">
        <v>3</v>
      </c>
      <c r="C20" s="505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2"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504">
        <v>4</v>
      </c>
      <c r="C21" s="109" t="s">
        <v>1459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2">
        <v>100</v>
      </c>
      <c r="G21" s="360">
        <f ca="1">IF(ISERROR(OFFSET('HARGA SATUAN'!$I$6,MATCH(RAB!C21,'HARGA SATUAN'!$C$7:$C$1492,0),0)),0,OFFSET('HARGA SATUAN'!$I$6,MATCH(RAB!C21,'HARGA SATUAN'!$C$7:$C$1492,0),0))</f>
        <v>54500</v>
      </c>
      <c r="H21" s="361">
        <f t="shared" ca="1" si="8"/>
        <v>5450000</v>
      </c>
      <c r="I21" s="361">
        <f t="shared" ca="1" si="9"/>
        <v>0</v>
      </c>
      <c r="J21" s="361">
        <f t="shared" ca="1" si="10"/>
        <v>0</v>
      </c>
      <c r="K21" s="362">
        <f t="shared" ca="1" si="11"/>
        <v>5450000</v>
      </c>
    </row>
    <row r="22" spans="2:11">
      <c r="B22" s="504">
        <v>5</v>
      </c>
      <c r="C22" s="505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2"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" ca="1" si="12">IF(OR(D23="MDU",D23="MDU-KD"),(IF($O$3="RAB NON MDU","PLN KD",G23*F23)),0)</f>
        <v>0</v>
      </c>
      <c r="I23" s="361">
        <f t="shared" ref="I23" ca="1" si="13">IF(D23="HDW",G23*F23,0)</f>
        <v>0</v>
      </c>
      <c r="J23" s="361">
        <f t="shared" ref="J23" ca="1" si="14">IF(D23="JASA",G23*F23,0)</f>
        <v>0</v>
      </c>
      <c r="K23" s="362">
        <f t="shared" ref="K23" ca="1" si="15">SUM(H23:J23)</f>
        <v>0</v>
      </c>
    </row>
    <row r="24" spans="2:11">
      <c r="B24" s="500" t="s">
        <v>505</v>
      </c>
      <c r="C24" s="497" t="s">
        <v>1618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6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:H44" ca="1" si="16">IF(OR(D24="MDU",D24="MDU-KD"),(IF($O$3="RAB NON MDU","PLN KD",G24*F24)),0)</f>
        <v>0</v>
      </c>
      <c r="I24" s="361">
        <f t="shared" ref="I24:I44" ca="1" si="17">IF(D24="HDW",G24*F24,0)</f>
        <v>0</v>
      </c>
      <c r="J24" s="361">
        <f t="shared" ref="J24:J44" ca="1" si="18">IF(D24="JASA",G24*F24,0)</f>
        <v>0</v>
      </c>
      <c r="K24" s="362">
        <f t="shared" ref="K24:K44" ca="1" si="19">SUM(H24:J24)</f>
        <v>0</v>
      </c>
    </row>
    <row r="25" spans="2:11">
      <c r="B25" s="507" t="s">
        <v>1035</v>
      </c>
      <c r="C25" s="508" t="s">
        <v>1614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6"/>
        <v>0</v>
      </c>
      <c r="I25" s="361">
        <f t="shared" ca="1" si="17"/>
        <v>0</v>
      </c>
      <c r="J25" s="361">
        <f t="shared" ca="1" si="18"/>
        <v>0</v>
      </c>
      <c r="K25" s="362">
        <f t="shared" ca="1" si="19"/>
        <v>0</v>
      </c>
    </row>
    <row r="26" spans="2:11">
      <c r="B26" s="507">
        <v>1</v>
      </c>
      <c r="C26" s="490" t="s">
        <v>1147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F25*1</f>
        <v>1</v>
      </c>
      <c r="G26" s="360">
        <f ca="1">IF(ISERROR(OFFSET('HARGA SATUAN'!$I$6,MATCH(RAB!C26,'HARGA SATUAN'!$C$7:$C$1492,0),0)),0,OFFSET('HARGA SATUAN'!$I$6,MATCH(RAB!C26,'HARGA SATUAN'!$C$7:$C$1492,0),0))</f>
        <v>56838600</v>
      </c>
      <c r="H26" s="361">
        <f t="shared" ca="1" si="16"/>
        <v>56838600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56838600</v>
      </c>
    </row>
    <row r="27" spans="2:11">
      <c r="B27" s="503">
        <v>2</v>
      </c>
      <c r="C27" s="509" t="s">
        <v>1615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10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</row>
    <row r="28" spans="2:11">
      <c r="B28" s="507"/>
      <c r="C28" s="509" t="s">
        <v>65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>
        <f>F25*(3*3)</f>
        <v>9</v>
      </c>
      <c r="G28" s="360" t="s">
        <v>1623</v>
      </c>
      <c r="H28" s="361"/>
      <c r="I28" s="361">
        <f t="shared" ca="1" si="17"/>
        <v>0</v>
      </c>
      <c r="J28" s="361">
        <f t="shared" ca="1" si="18"/>
        <v>0</v>
      </c>
      <c r="K28" s="362">
        <f t="shared" ca="1" si="19"/>
        <v>0</v>
      </c>
    </row>
    <row r="29" spans="2:11">
      <c r="B29" s="507"/>
      <c r="C29" s="509" t="s">
        <v>1616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>
        <f>F25*3</f>
        <v>3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/>
      <c r="I29" s="361">
        <f t="shared" ca="1" si="17"/>
        <v>0</v>
      </c>
      <c r="J29" s="361">
        <f t="shared" ca="1" si="18"/>
        <v>0</v>
      </c>
      <c r="K29" s="362">
        <f t="shared" ca="1" si="19"/>
        <v>0</v>
      </c>
    </row>
    <row r="30" spans="2:11">
      <c r="B30" s="507">
        <v>3</v>
      </c>
      <c r="C30" s="490" t="s">
        <v>559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F25*3</f>
        <v>3</v>
      </c>
      <c r="G30" s="360" t="s">
        <v>1623</v>
      </c>
      <c r="H30" s="361"/>
      <c r="I30" s="361">
        <f t="shared" ca="1" si="17"/>
        <v>0</v>
      </c>
      <c r="J30" s="361">
        <f t="shared" ca="1" si="18"/>
        <v>0</v>
      </c>
      <c r="K30" s="362">
        <f t="shared" ca="1" si="19"/>
        <v>0</v>
      </c>
    </row>
    <row r="31" spans="2:11">
      <c r="B31" s="507">
        <v>4</v>
      </c>
      <c r="C31" s="508" t="s">
        <v>535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F25*3</f>
        <v>3</v>
      </c>
      <c r="G31" s="360" t="s">
        <v>1623</v>
      </c>
      <c r="H31" s="361"/>
      <c r="I31" s="361">
        <f t="shared" ca="1" si="17"/>
        <v>0</v>
      </c>
      <c r="J31" s="361">
        <f t="shared" ca="1" si="18"/>
        <v>0</v>
      </c>
      <c r="K31" s="362">
        <f t="shared" ca="1" si="19"/>
        <v>0</v>
      </c>
    </row>
    <row r="32" spans="2:11">
      <c r="B32" s="507">
        <v>5</v>
      </c>
      <c r="C32" s="508" t="s">
        <v>55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F25*3</f>
        <v>3</v>
      </c>
      <c r="G32" s="360" t="s">
        <v>1623</v>
      </c>
      <c r="H32" s="361">
        <f t="shared" ca="1" si="16"/>
        <v>0</v>
      </c>
      <c r="I32" s="361"/>
      <c r="J32" s="361">
        <f t="shared" ca="1" si="18"/>
        <v>0</v>
      </c>
      <c r="K32" s="362">
        <f t="shared" ca="1" si="19"/>
        <v>0</v>
      </c>
    </row>
    <row r="33" spans="2:11">
      <c r="B33" s="507">
        <v>6</v>
      </c>
      <c r="C33" s="508" t="s">
        <v>1617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501">
        <f>F25*13</f>
        <v>13</v>
      </c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16"/>
        <v>0</v>
      </c>
      <c r="I33" s="361">
        <f t="shared" ca="1" si="17"/>
        <v>0</v>
      </c>
      <c r="J33" s="361">
        <f t="shared" ca="1" si="18"/>
        <v>0</v>
      </c>
      <c r="K33" s="362">
        <f t="shared" ca="1" si="19"/>
        <v>0</v>
      </c>
    </row>
    <row r="34" spans="2:11">
      <c r="B34" s="507">
        <v>7</v>
      </c>
      <c r="C34" s="508" t="s">
        <v>163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F25*22</f>
        <v>22</v>
      </c>
      <c r="G34" s="360" t="s">
        <v>1623</v>
      </c>
      <c r="H34" s="361">
        <f t="shared" ca="1" si="16"/>
        <v>0</v>
      </c>
      <c r="I34" s="361"/>
      <c r="J34" s="361">
        <f t="shared" ca="1" si="18"/>
        <v>0</v>
      </c>
      <c r="K34" s="362">
        <f t="shared" ca="1" si="19"/>
        <v>0</v>
      </c>
    </row>
    <row r="35" spans="2:11">
      <c r="B35" s="507">
        <v>8</v>
      </c>
      <c r="C35" s="508" t="s">
        <v>176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F25*1</f>
        <v>1</v>
      </c>
      <c r="G35" s="360" t="s">
        <v>1623</v>
      </c>
      <c r="H35" s="361">
        <f t="shared" ca="1" si="16"/>
        <v>0</v>
      </c>
      <c r="I35" s="361"/>
      <c r="J35" s="361">
        <f t="shared" ca="1" si="18"/>
        <v>0</v>
      </c>
      <c r="K35" s="362">
        <f t="shared" ca="1" si="19"/>
        <v>0</v>
      </c>
    </row>
    <row r="36" spans="2:11">
      <c r="B36" s="507">
        <v>9</v>
      </c>
      <c r="C36" s="508" t="s">
        <v>184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F25*3</f>
        <v>3</v>
      </c>
      <c r="G36" s="360" t="s">
        <v>1623</v>
      </c>
      <c r="H36" s="361">
        <f t="shared" ca="1" si="16"/>
        <v>0</v>
      </c>
      <c r="I36" s="361"/>
      <c r="J36" s="361">
        <f t="shared" ca="1" si="18"/>
        <v>0</v>
      </c>
      <c r="K36" s="362">
        <f t="shared" ca="1" si="19"/>
        <v>0</v>
      </c>
    </row>
    <row r="37" spans="2:11">
      <c r="B37" s="507">
        <v>10</v>
      </c>
      <c r="C37" s="508" t="s">
        <v>592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F25*5</f>
        <v>5</v>
      </c>
      <c r="G37" s="360" t="s">
        <v>1623</v>
      </c>
      <c r="H37" s="361">
        <f t="shared" ca="1" si="16"/>
        <v>0</v>
      </c>
      <c r="I37" s="361"/>
      <c r="J37" s="361">
        <f t="shared" ca="1" si="18"/>
        <v>0</v>
      </c>
      <c r="K37" s="362">
        <f t="shared" ca="1" si="19"/>
        <v>0</v>
      </c>
    </row>
    <row r="38" spans="2:11">
      <c r="B38" s="507">
        <v>11</v>
      </c>
      <c r="C38" s="508" t="s">
        <v>593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F25*4</f>
        <v>4</v>
      </c>
      <c r="G38" s="360" t="s">
        <v>1623</v>
      </c>
      <c r="H38" s="361">
        <f t="shared" ca="1" si="16"/>
        <v>0</v>
      </c>
      <c r="I38" s="361"/>
      <c r="J38" s="361">
        <f t="shared" ca="1" si="18"/>
        <v>0</v>
      </c>
      <c r="K38" s="362">
        <f t="shared" ca="1" si="19"/>
        <v>0</v>
      </c>
    </row>
    <row r="39" spans="2:11">
      <c r="B39" s="507">
        <v>12</v>
      </c>
      <c r="C39" s="508" t="s">
        <v>208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F25*3</f>
        <v>3</v>
      </c>
      <c r="G39" s="360" t="s">
        <v>1623</v>
      </c>
      <c r="H39" s="361">
        <f t="shared" ca="1" si="16"/>
        <v>0</v>
      </c>
      <c r="I39" s="361"/>
      <c r="J39" s="361">
        <f t="shared" ca="1" si="18"/>
        <v>0</v>
      </c>
      <c r="K39" s="362">
        <f t="shared" ca="1" si="19"/>
        <v>0</v>
      </c>
    </row>
    <row r="40" spans="2:11">
      <c r="B40" s="507">
        <v>13</v>
      </c>
      <c r="C40" s="508" t="s">
        <v>247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F25*1</f>
        <v>1</v>
      </c>
      <c r="G40" s="360" t="s">
        <v>1623</v>
      </c>
      <c r="H40" s="361">
        <f t="shared" ca="1" si="16"/>
        <v>0</v>
      </c>
      <c r="I40" s="361"/>
      <c r="J40" s="361">
        <f t="shared" ca="1" si="18"/>
        <v>0</v>
      </c>
      <c r="K40" s="362">
        <f t="shared" ca="1" si="19"/>
        <v>0</v>
      </c>
    </row>
    <row r="41" spans="2:11">
      <c r="B41" s="507">
        <v>14</v>
      </c>
      <c r="C41" s="508" t="s">
        <v>234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F25*2</f>
        <v>2</v>
      </c>
      <c r="G41" s="360" t="s">
        <v>1623</v>
      </c>
      <c r="H41" s="361">
        <f t="shared" ca="1" si="16"/>
        <v>0</v>
      </c>
      <c r="I41" s="361"/>
      <c r="J41" s="361">
        <f t="shared" ca="1" si="18"/>
        <v>0</v>
      </c>
      <c r="K41" s="362">
        <f t="shared" ca="1" si="19"/>
        <v>0</v>
      </c>
    </row>
    <row r="42" spans="2:11">
      <c r="B42" s="507">
        <v>15</v>
      </c>
      <c r="C42" s="508" t="s">
        <v>267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F25*2</f>
        <v>2</v>
      </c>
      <c r="G42" s="360" t="s">
        <v>1623</v>
      </c>
      <c r="H42" s="361">
        <f t="shared" ca="1" si="16"/>
        <v>0</v>
      </c>
      <c r="I42" s="361"/>
      <c r="J42" s="361">
        <f t="shared" ca="1" si="18"/>
        <v>0</v>
      </c>
      <c r="K42" s="362">
        <f t="shared" ca="1" si="19"/>
        <v>0</v>
      </c>
    </row>
    <row r="43" spans="2:11">
      <c r="B43" s="507">
        <v>16</v>
      </c>
      <c r="C43" s="508" t="s">
        <v>607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F25*4</f>
        <v>4</v>
      </c>
      <c r="G43" s="360" t="s">
        <v>1623</v>
      </c>
      <c r="H43" s="361">
        <f t="shared" ca="1" si="16"/>
        <v>0</v>
      </c>
      <c r="I43" s="361"/>
      <c r="J43" s="361">
        <f t="shared" ca="1" si="18"/>
        <v>0</v>
      </c>
      <c r="K43" s="362">
        <f t="shared" ca="1" si="19"/>
        <v>0</v>
      </c>
    </row>
    <row r="44" spans="2:11">
      <c r="B44" s="507">
        <v>17</v>
      </c>
      <c r="C44" s="508" t="s">
        <v>784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f>F25*1</f>
        <v>1</v>
      </c>
      <c r="G44" s="360">
        <f ca="1">IF(ISERROR(OFFSET('HARGA SATUAN'!$I$6,MATCH(RAB!C44,'HARGA SATUAN'!$C$7:$C$1492,0),0)),0,OFFSET('HARGA SATUAN'!$I$6,MATCH(RAB!C44,'HARGA SATUAN'!$C$7:$C$1492,0),0))</f>
        <v>2953300</v>
      </c>
      <c r="H44" s="361">
        <f t="shared" ca="1" si="16"/>
        <v>0</v>
      </c>
      <c r="I44" s="361">
        <f t="shared" ca="1" si="17"/>
        <v>0</v>
      </c>
      <c r="J44" s="361">
        <f t="shared" ca="1" si="18"/>
        <v>2953300</v>
      </c>
      <c r="K44" s="362">
        <f t="shared" ca="1" si="19"/>
        <v>2953300</v>
      </c>
    </row>
    <row r="45" spans="2:11">
      <c r="B45" s="500"/>
      <c r="C45" s="497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1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49" ca="1" si="20">IF(OR(D45="MDU",D45="MDU-KD"),(IF($O$3="RAB NON MDU","PLN KD",G45*F45)),0)</f>
        <v>0</v>
      </c>
      <c r="I45" s="361">
        <f t="shared" ref="I45:I49" ca="1" si="21">IF(D45="HDW",G45*F45,0)</f>
        <v>0</v>
      </c>
      <c r="J45" s="361">
        <f t="shared" ref="J45:J49" ca="1" si="22">IF(D45="JASA",G45*F45,0)</f>
        <v>0</v>
      </c>
      <c r="K45" s="362">
        <f t="shared" ref="K45:K49" ca="1" si="23">SUM(H45:J45)</f>
        <v>0</v>
      </c>
    </row>
    <row r="46" spans="2:11">
      <c r="B46" s="500" t="s">
        <v>524</v>
      </c>
      <c r="C46" s="497" t="s">
        <v>1626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20"/>
        <v>0</v>
      </c>
      <c r="I46" s="361">
        <f t="shared" ca="1" si="21"/>
        <v>0</v>
      </c>
      <c r="J46" s="361">
        <f t="shared" ca="1" si="22"/>
        <v>0</v>
      </c>
      <c r="K46" s="362">
        <f t="shared" ca="1" si="23"/>
        <v>0</v>
      </c>
    </row>
    <row r="47" spans="2:11">
      <c r="B47" s="511" t="s">
        <v>1035</v>
      </c>
      <c r="C47" s="513" t="s">
        <v>964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v>1</v>
      </c>
      <c r="G47" s="360">
        <f ca="1">IF(ISERROR(OFFSET('HARGA SATUAN'!$I$6,MATCH(RAB!C47,'HARGA SATUAN'!$C$7:$C$1492,0),0)),0,OFFSET('HARGA SATUAN'!$I$6,MATCH(RAB!C47,'HARGA SATUAN'!$C$7:$C$1492,0),0))</f>
        <v>709680</v>
      </c>
      <c r="H47" s="361">
        <f t="shared" ca="1" si="20"/>
        <v>0</v>
      </c>
      <c r="I47" s="361">
        <f t="shared" ca="1" si="21"/>
        <v>0</v>
      </c>
      <c r="J47" s="361">
        <f t="shared" ca="1" si="22"/>
        <v>709680</v>
      </c>
      <c r="K47" s="362">
        <f t="shared" ca="1" si="23"/>
        <v>709680</v>
      </c>
    </row>
    <row r="48" spans="2:11">
      <c r="B48" s="515" t="s">
        <v>1035</v>
      </c>
      <c r="C48" s="514" t="s">
        <v>982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63840</v>
      </c>
      <c r="H48" s="361">
        <f t="shared" ca="1" si="20"/>
        <v>0</v>
      </c>
      <c r="I48" s="361">
        <f t="shared" ca="1" si="21"/>
        <v>0</v>
      </c>
      <c r="J48" s="361">
        <f t="shared" ca="1" si="22"/>
        <v>63840</v>
      </c>
      <c r="K48" s="362">
        <f t="shared" ca="1" si="23"/>
        <v>63840</v>
      </c>
    </row>
    <row r="49" spans="2:13">
      <c r="B49" s="511"/>
      <c r="C49" s="512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1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</row>
    <row r="50" spans="2:13">
      <c r="B50" s="367"/>
      <c r="C50" s="109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472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" ca="1" si="24">IF(OR(D50="MDU",D50="MDU-KD"),(IF($O$3="RAB NON MDU","PLN KD",G50*F50)),0)</f>
        <v>0</v>
      </c>
      <c r="I50" s="361">
        <f t="shared" ref="I50" ca="1" si="25">IF(D50="HDW",G50*F50,0)</f>
        <v>0</v>
      </c>
      <c r="J50" s="361">
        <f t="shared" ref="J50" ca="1" si="26">IF(D50="JASA",G50*F50,0)</f>
        <v>0</v>
      </c>
      <c r="K50" s="362">
        <f t="shared" ref="K50" ca="1" si="27">SUM(H50:J50)</f>
        <v>0</v>
      </c>
    </row>
    <row r="51" spans="2:13">
      <c r="B51" s="368"/>
      <c r="C51" s="369" t="s">
        <v>475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472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ref="H51" ca="1" si="28">IF(OR(D51="MDU",D51="MDU-KD"),(IF($O$3="RAB NON MDU","PLN KD",G51*F51)),0)</f>
        <v>0</v>
      </c>
      <c r="I51" s="361">
        <f t="shared" ref="I51" ca="1" si="29">IF(D51="HDW",G51*F51,0)</f>
        <v>0</v>
      </c>
      <c r="J51" s="361">
        <f t="shared" ref="J51" ca="1" si="30">IF(D51="JASA",G51*F51,0)</f>
        <v>0</v>
      </c>
      <c r="K51" s="362">
        <f t="shared" ref="K51" ca="1" si="31">SUM(H51:J51)</f>
        <v>0</v>
      </c>
    </row>
    <row r="52" spans="2:13">
      <c r="B52" s="371">
        <v>1</v>
      </c>
      <c r="C52" s="372" t="s">
        <v>1091</v>
      </c>
      <c r="D52" s="373" t="str">
        <f ca="1">IF(ISERROR(OFFSET('HARGA SATUAN'!$D$6,MATCH(RAB!C52,'HARGA SATUAN'!$C$7:$C$1492,0),0)),"",OFFSET('HARGA SATUAN'!$D$6,MATCH(RAB!C52,'HARGA SATUAN'!$C$7:$C$1492,0),0))</f>
        <v>JASA</v>
      </c>
      <c r="E52" s="374" t="str">
        <f ca="1">IF(ISERROR(OFFSET('HARGA SATUAN'!$E$6,MATCH(RAB!C52,'HARGA SATUAN'!$C$7:$C$1492,0),0)),"",OFFSET('HARGA SATUAN'!$E$6,MATCH(RAB!C52,'HARGA SATUAN'!$C$7:$C$1492,0),0))</f>
        <v>Lot</v>
      </c>
      <c r="F52" s="375">
        <v>1</v>
      </c>
      <c r="G52" s="376">
        <f ca="1">IF(ISERROR(OFFSET('HARGA SATUAN'!$I$6,MATCH(RAB!C52,'HARGA SATUAN'!$C$7:$C$1492,0),0)),0,OFFSET('HARGA SATUAN'!$I$6,MATCH(RAB!C52,'HARGA SATUAN'!$C$7:$C$1492,0),0))</f>
        <v>2.5000000000000001E-2</v>
      </c>
      <c r="H52" s="377"/>
      <c r="I52" s="377"/>
      <c r="J52" s="377">
        <f ca="1">2.5%*(SUM(K14:K51))</f>
        <v>2073945.5</v>
      </c>
      <c r="K52" s="378">
        <f ca="1">SUM(H52:J52)</f>
        <v>2073945.5</v>
      </c>
    </row>
    <row r="53" spans="2:13">
      <c r="B53" s="379"/>
      <c r="C53" s="380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IF(ISERROR(OFFSET('HARGA SATUAN'!$E$6,MATCH(RAB!C53,'HARGA SATUAN'!$C$7:$C$1492,0),0)),"",OFFSET('HARGA SATUAN'!$E$6,MATCH(RAB!C53,'HARGA SATUAN'!$C$7:$C$1492,0),0))</f>
        <v/>
      </c>
      <c r="F53" s="370"/>
      <c r="G53" s="360" t="str">
        <f ca="1">IF(ISERROR(OFFSET('HARGA SATUAN'!$I$6,MATCH(RAB!C53,'HARGA SATUAN'!$C$7:$C$1492,0),0)),"",OFFSET('HARGA SATUAN'!$I$6,MATCH(RAB!C53,'HARGA SATUAN'!$C$7:$C$1492,0),0))</f>
        <v/>
      </c>
      <c r="H53" s="361">
        <f ca="1">IF(OR(D53="MDU",D53="MDU-KD"),IF(G53="PLN",0,G53*F53),0)</f>
        <v>0</v>
      </c>
      <c r="I53" s="361">
        <f ca="1">IF(D53="HDW",IF(G53="PLN",0,G53*F53),0)</f>
        <v>0</v>
      </c>
      <c r="J53" s="361">
        <f ca="1">IF(D53="JASA",IF(G53="PLN",0,G53*F53),0)</f>
        <v>0</v>
      </c>
      <c r="K53" s="362">
        <f ca="1">SUM(H53:J53)</f>
        <v>0</v>
      </c>
    </row>
    <row r="54" spans="2:13" ht="15.75" thickBot="1">
      <c r="B54" s="381"/>
      <c r="C54" s="382"/>
      <c r="D54" s="383"/>
      <c r="E54" s="384"/>
      <c r="F54" s="384"/>
      <c r="G54" s="384"/>
      <c r="H54" s="385"/>
      <c r="I54" s="385"/>
      <c r="J54" s="385"/>
      <c r="K54" s="386"/>
    </row>
    <row r="55" spans="2:13">
      <c r="B55" s="387"/>
      <c r="C55" s="615" t="s">
        <v>1008</v>
      </c>
      <c r="D55" s="615"/>
      <c r="E55" s="615"/>
      <c r="F55" s="615"/>
      <c r="G55" s="388" t="s">
        <v>9</v>
      </c>
      <c r="H55" s="389">
        <f ca="1">SUM(H14:H53)</f>
        <v>78010700</v>
      </c>
      <c r="I55" s="389">
        <f ca="1">SUM(I14:I53)</f>
        <v>1113900</v>
      </c>
      <c r="J55" s="389">
        <f ca="1">SUM(J14:J53)</f>
        <v>5907165.5</v>
      </c>
      <c r="K55" s="389">
        <f ca="1">SUM(K14:K53)</f>
        <v>85031765.5</v>
      </c>
    </row>
    <row r="56" spans="2:13">
      <c r="B56" s="390"/>
      <c r="C56" s="631" t="s">
        <v>1457</v>
      </c>
      <c r="D56" s="631"/>
      <c r="E56" s="631"/>
      <c r="F56" s="631"/>
      <c r="G56" s="391" t="s">
        <v>9</v>
      </c>
      <c r="H56" s="392">
        <f ca="1">H55*0.11</f>
        <v>8581177</v>
      </c>
      <c r="I56" s="392">
        <f ca="1">I55*0.11</f>
        <v>122529</v>
      </c>
      <c r="J56" s="392">
        <f ca="1">J55*0.11</f>
        <v>649788.20499999996</v>
      </c>
      <c r="K56" s="392">
        <f ca="1">K55*0.11</f>
        <v>9353494.2050000001</v>
      </c>
    </row>
    <row r="57" spans="2:13" ht="15.75" thickBot="1">
      <c r="B57" s="390"/>
      <c r="C57" s="629" t="s">
        <v>463</v>
      </c>
      <c r="D57" s="629"/>
      <c r="E57" s="629"/>
      <c r="F57" s="629"/>
      <c r="G57" s="393" t="s">
        <v>9</v>
      </c>
      <c r="H57" s="394">
        <f ca="1">SUM(H55:H56)</f>
        <v>86591877</v>
      </c>
      <c r="I57" s="394">
        <f ca="1">SUM(I55:I56)</f>
        <v>1236429</v>
      </c>
      <c r="J57" s="393">
        <f ca="1">SUM(J55:J56)</f>
        <v>6556953.7050000001</v>
      </c>
      <c r="K57" s="393">
        <f ca="1">SUM(K55:K56)</f>
        <v>94385259.704999998</v>
      </c>
      <c r="M57" s="477"/>
    </row>
    <row r="58" spans="2:13">
      <c r="B58" s="632" t="str">
        <f ca="1">"Terbilang : "&amp;PROPER(IF(K57=0,"nol",IF(K57&lt;0,"minus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IF(--MID(TEXT(ABS(K57),"000000000000000"),1,3)=0,"",MID(TEXT(ABS(K57),"000000000000000"),1,1)&amp;" ratus "&amp;MID(TEXT(ABS(K57),"000000000000000"),2,1)&amp;" puluh "&amp;MID(TEXT(ABS(K57),"000000000000000"),3,1)&amp;" trilyun ")&amp; IF(--MID(TEXT(ABS(K57),"000000000000000"),4,3)=0,"",MID(TEXT(ABS(K57),"000000000000000"),4,1)&amp;" ratus "&amp;MID(TEXT(ABS(K57),"000000000000000"),5,1)&amp;" puluh "&amp;MID(TEXT(ABS(K57),"000000000000000"),6,1)&amp;" milyar ")&amp; IF(--MID(TEXT(ABS(K57),"000000000000000"),7,3)=0,"",MID(TEXT(ABS(K57),"000000000000000"),7,1)&amp;" ratus "&amp;MID(TEXT(ABS(K57),"000000000000000"),8,1)&amp;" puluh "&amp;MID(TEXT(ABS(K57),"000000000000000"),9,1)&amp;" juta ")&amp; IF(--MID(TEXT(ABS(K57),"000000000000000"),10,3)=0,"",IF(--MID(TEXT(ABS(K57),"000000000000000"),10,3)=1,"*",MID(TEXT(ABS(K57),"000000000000000"),10,1)&amp;" ratus "&amp;MID(TEXT(ABS(K57),"000000000000000"),11,1)&amp;" puluh ")&amp;MID(TEXT(ABS(K57),"000000000000000"),12,1)&amp;" ribu ")&amp; IF(--MID(TEXT(ABS(K57),"000000000000000"),13,3)=0,"",MID(TEXT(ABS(K57),"000000000000000"),13,1)&amp;" ratus "&amp;MID(TEXT(ABS(K57),"000000000000000"),14,1)&amp;" puluh "&amp;MID(TEXT(ABS(K57),"000000000000000"),15,1)),1,"satu"),2,"dua"),3,"tiga"),4,"empat"),5,"lima"),6,"enam"),7,"tujuh"),8,"delapan"),9,"sembilan"),"0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Empat Juta Tiga Ratus Delapan Puluh Lima Ribu Dua Ratus Enam Puluh Rupiah</v>
      </c>
      <c r="C58" s="633"/>
      <c r="D58" s="633"/>
      <c r="E58" s="633"/>
      <c r="F58" s="633"/>
      <c r="G58" s="633"/>
      <c r="H58" s="633"/>
      <c r="I58" s="633"/>
      <c r="J58" s="633"/>
      <c r="K58" s="634"/>
      <c r="M58" s="516"/>
    </row>
    <row r="59" spans="2:13">
      <c r="B59" s="635"/>
      <c r="C59" s="636"/>
      <c r="D59" s="636"/>
      <c r="E59" s="636"/>
      <c r="F59" s="636"/>
      <c r="G59" s="636"/>
      <c r="H59" s="636"/>
      <c r="I59" s="636"/>
      <c r="J59" s="636"/>
      <c r="K59" s="637"/>
    </row>
    <row r="60" spans="2:13" ht="15.75" thickBot="1">
      <c r="B60" s="395" t="str">
        <f>"Harga yang dipakai adalah "&amp;'HARGA SATUAN'!I5&amp;""</f>
        <v>Harga yang dipakai adalah RAB HSS 2023</v>
      </c>
      <c r="C60" s="396"/>
      <c r="D60" s="397"/>
      <c r="E60" s="397"/>
      <c r="F60" s="397"/>
      <c r="G60" s="398"/>
      <c r="H60" s="398"/>
      <c r="I60" s="398"/>
      <c r="J60" s="398"/>
      <c r="K60" s="399"/>
    </row>
    <row r="61" spans="2:13">
      <c r="C61" s="400"/>
      <c r="E61" s="402"/>
      <c r="F61" s="402"/>
      <c r="G61" s="402"/>
    </row>
    <row r="62" spans="2:13">
      <c r="C62" s="337"/>
      <c r="E62" s="402"/>
      <c r="F62" s="402"/>
      <c r="G62" s="402"/>
      <c r="H62" s="638"/>
      <c r="I62" s="638"/>
      <c r="J62" s="639"/>
      <c r="K62" s="639"/>
    </row>
    <row r="63" spans="2:13">
      <c r="C63" s="337"/>
      <c r="E63" s="402"/>
      <c r="F63" s="402"/>
      <c r="G63" s="402"/>
      <c r="H63" s="403"/>
      <c r="I63" s="628" t="s">
        <v>1627</v>
      </c>
      <c r="J63" s="628"/>
      <c r="K63" s="628"/>
    </row>
    <row r="64" spans="2:13">
      <c r="C64" s="337"/>
      <c r="E64" s="402"/>
      <c r="F64" s="402"/>
      <c r="G64" s="402"/>
      <c r="H64" s="403"/>
      <c r="I64" s="628" t="s">
        <v>1609</v>
      </c>
      <c r="J64" s="628"/>
      <c r="K64" s="628"/>
    </row>
    <row r="65" spans="3:11">
      <c r="C65" s="337"/>
      <c r="E65" s="402"/>
      <c r="F65" s="402"/>
      <c r="G65" s="402"/>
      <c r="H65" s="404"/>
      <c r="I65" s="405"/>
      <c r="J65" s="405"/>
      <c r="K65" s="405"/>
    </row>
    <row r="66" spans="3:11">
      <c r="C66" s="337"/>
      <c r="E66" s="402"/>
      <c r="F66" s="402"/>
      <c r="G66" s="402"/>
      <c r="H66" s="404"/>
      <c r="I66" s="404"/>
      <c r="J66" s="404"/>
      <c r="K66" s="404"/>
    </row>
    <row r="67" spans="3:11">
      <c r="C67" s="337"/>
      <c r="E67" s="402"/>
      <c r="F67" s="402"/>
      <c r="G67" s="402"/>
      <c r="H67" s="404"/>
      <c r="I67" s="404"/>
      <c r="J67" s="404"/>
      <c r="K67" s="404"/>
    </row>
    <row r="68" spans="3:11">
      <c r="C68" s="337"/>
      <c r="E68" s="402"/>
      <c r="F68" s="402"/>
      <c r="G68" s="402"/>
      <c r="H68" s="404"/>
      <c r="I68" s="404"/>
      <c r="J68" s="404"/>
      <c r="K68" s="404"/>
    </row>
    <row r="69" spans="3:11">
      <c r="C69" s="337"/>
      <c r="E69" s="402"/>
      <c r="F69" s="402"/>
      <c r="G69" s="402"/>
      <c r="H69" s="406"/>
      <c r="I69" s="628" t="s">
        <v>1611</v>
      </c>
      <c r="J69" s="628"/>
      <c r="K69" s="628"/>
    </row>
    <row r="70" spans="3:11">
      <c r="C70" s="400"/>
      <c r="E70" s="402"/>
      <c r="F70" s="402"/>
      <c r="G70" s="402"/>
      <c r="H70" s="404"/>
      <c r="I70" s="404"/>
      <c r="J70" s="404"/>
      <c r="K70" s="404"/>
    </row>
    <row r="71" spans="3:11">
      <c r="C71" s="400"/>
      <c r="E71" s="402"/>
      <c r="F71" s="402"/>
      <c r="G71" s="402"/>
      <c r="H71" s="404"/>
      <c r="I71" s="404"/>
      <c r="J71" s="404"/>
      <c r="K71" s="404"/>
    </row>
    <row r="72" spans="3:11">
      <c r="C72" s="400"/>
      <c r="E72" s="402"/>
      <c r="F72" s="402"/>
      <c r="G72" s="402"/>
      <c r="H72" s="404"/>
      <c r="I72" s="404"/>
      <c r="J72" s="404"/>
      <c r="K72" s="404"/>
    </row>
  </sheetData>
  <sheetProtection sort="0" autoFilter="0"/>
  <protectedRanges>
    <protectedRange sqref="B50" name="Range1_1"/>
    <protectedRange sqref="F14" name="Range1_1_2_2"/>
    <protectedRange sqref="C50" name="Range1_1_3_12"/>
    <protectedRange sqref="B17:B22" name="Range1_1_4"/>
    <protectedRange sqref="B15:C16 B24:C46 C47" name="Range1_6_2"/>
    <protectedRange sqref="C17:C20 C22 C48" name="Range1_3"/>
    <protectedRange sqref="F16:F49" name="Range1_1_3_1_1"/>
    <protectedRange sqref="F15" name="Range1_1_2_2_3_2"/>
    <protectedRange sqref="B47:B49" name="Range1_6_2_2"/>
    <protectedRange sqref="C49" name="Range1_6_2_2_2_1"/>
    <protectedRange sqref="C21" name="Range1_1_3"/>
  </protectedRanges>
  <mergeCells count="22">
    <mergeCell ref="I64:K64"/>
    <mergeCell ref="I69:K69"/>
    <mergeCell ref="C57:F57"/>
    <mergeCell ref="G6:K6"/>
    <mergeCell ref="I63:K63"/>
    <mergeCell ref="C56:F56"/>
    <mergeCell ref="B58:K59"/>
    <mergeCell ref="H62:K62"/>
    <mergeCell ref="H11:K11"/>
    <mergeCell ref="H12:H13"/>
    <mergeCell ref="J12:J13"/>
    <mergeCell ref="K12:K13"/>
    <mergeCell ref="O3:P4"/>
    <mergeCell ref="B4:K4"/>
    <mergeCell ref="C55:F55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E50:K51 E15:E49 G15:K49">
    <cfRule type="cellIs" dxfId="13" priority="79" stopIfTrue="1" operator="equal">
      <formula>0</formula>
    </cfRule>
  </conditionalFormatting>
  <conditionalFormatting sqref="C50">
    <cfRule type="cellIs" dxfId="12" priority="98" operator="equal">
      <formula>0</formula>
    </cfRule>
  </conditionalFormatting>
  <conditionalFormatting sqref="E1:E3 G1:G13 E5:E13 H12:I12 O13 S14:V14 E52:G52 H52:K54 E53:H53 E54:F54">
    <cfRule type="cellIs" dxfId="11" priority="1080" stopIfTrue="1" operator="equal">
      <formula>0</formula>
    </cfRule>
  </conditionalFormatting>
  <conditionalFormatting sqref="E14:K14">
    <cfRule type="cellIs" dxfId="10" priority="48" stopIfTrue="1" operator="equal">
      <formula>0</formula>
    </cfRule>
  </conditionalFormatting>
  <conditionalFormatting sqref="G53:G65519 E58:E65519">
    <cfRule type="cellIs" dxfId="9" priority="214" stopIfTrue="1" operator="equal">
      <formula>0</formula>
    </cfRule>
  </conditionalFormatting>
  <conditionalFormatting sqref="F16">
    <cfRule type="cellIs" dxfId="8" priority="35" stopIfTrue="1" operator="equal">
      <formula>0</formula>
    </cfRule>
  </conditionalFormatting>
  <conditionalFormatting sqref="F17:F23">
    <cfRule type="cellIs" dxfId="7" priority="34" stopIfTrue="1" operator="equal">
      <formula>0</formula>
    </cfRule>
  </conditionalFormatting>
  <conditionalFormatting sqref="F15">
    <cfRule type="cellIs" dxfId="6" priority="32" stopIfTrue="1" operator="equal">
      <formula>0</formula>
    </cfRule>
  </conditionalFormatting>
  <conditionalFormatting sqref="C18">
    <cfRule type="cellIs" dxfId="5" priority="27" operator="equal">
      <formula>0</formula>
    </cfRule>
  </conditionalFormatting>
  <conditionalFormatting sqref="F24">
    <cfRule type="cellIs" dxfId="4" priority="16" stopIfTrue="1" operator="equal">
      <formula>0</formula>
    </cfRule>
  </conditionalFormatting>
  <conditionalFormatting sqref="C26">
    <cfRule type="cellIs" dxfId="3" priority="13" operator="equal">
      <formula>0</formula>
    </cfRule>
  </conditionalFormatting>
  <conditionalFormatting sqref="C30">
    <cfRule type="cellIs" dxfId="2" priority="12" operator="equal">
      <formula>0</formula>
    </cfRule>
  </conditionalFormatting>
  <conditionalFormatting sqref="F25:F49">
    <cfRule type="cellIs" dxfId="1" priority="11" stopIfTrue="1" operator="equal">
      <formula>0</formula>
    </cfRule>
  </conditionalFormatting>
  <conditionalFormatting sqref="C2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27:C29 F15:F16 F24:F51 H14:K54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10" zoomScale="85" zoomScaleNormal="115" zoomScaleSheetLayoutView="85" workbookViewId="0">
      <selection activeCell="Q23" sqref="Q2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2" t="s">
        <v>1439</v>
      </c>
      <c r="X2" s="643"/>
      <c r="Y2" s="643"/>
      <c r="Z2" s="643"/>
      <c r="AA2" s="643"/>
      <c r="AB2" s="643"/>
      <c r="AC2" s="643"/>
      <c r="AD2" s="644"/>
    </row>
    <row r="3" spans="3:30">
      <c r="C3" s="238"/>
      <c r="W3" s="645"/>
      <c r="X3" s="646"/>
      <c r="Y3" s="646"/>
      <c r="Z3" s="646"/>
      <c r="AA3" s="646"/>
      <c r="AB3" s="646"/>
      <c r="AC3" s="646"/>
      <c r="AD3" s="647"/>
    </row>
    <row r="4" spans="3:30">
      <c r="C4" s="238"/>
      <c r="Q4" s="483" t="s">
        <v>1624</v>
      </c>
      <c r="W4" s="239" t="s">
        <v>987</v>
      </c>
      <c r="AD4" s="240"/>
    </row>
    <row r="5" spans="3:30">
      <c r="C5" s="238"/>
      <c r="W5" s="241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238"/>
      <c r="W6" s="241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238"/>
      <c r="W7" s="241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238"/>
      <c r="W8" s="241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238"/>
      <c r="W9" s="241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238"/>
      <c r="W10" s="241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238"/>
      <c r="W11" s="241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238"/>
      <c r="W12" s="241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238"/>
      <c r="W13" s="241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238"/>
      <c r="W14" s="241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238"/>
      <c r="W15" s="241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238"/>
      <c r="W16" s="241">
        <v>11</v>
      </c>
      <c r="X16" s="648" t="s">
        <v>1455</v>
      </c>
      <c r="Y16" s="648"/>
      <c r="Z16" s="648"/>
      <c r="AA16" s="648"/>
      <c r="AB16" s="648"/>
      <c r="AC16" s="648"/>
      <c r="AD16" s="649"/>
    </row>
    <row r="17" spans="3:30">
      <c r="C17" s="238"/>
      <c r="S17" s="242"/>
      <c r="W17" s="241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243"/>
      <c r="D18" s="244"/>
      <c r="E18" s="244"/>
      <c r="W18" s="241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238"/>
      <c r="W19" s="245"/>
      <c r="X19" s="665"/>
      <c r="Y19" s="665"/>
      <c r="Z19" s="665"/>
      <c r="AA19" s="665"/>
      <c r="AB19" s="665"/>
      <c r="AC19" s="665"/>
      <c r="AD19" s="666"/>
    </row>
    <row r="20" spans="3:30">
      <c r="C20" s="238"/>
      <c r="W20" s="650" t="s">
        <v>992</v>
      </c>
      <c r="X20" s="651"/>
      <c r="Y20" s="651"/>
      <c r="Z20" s="651"/>
      <c r="AA20" s="651"/>
      <c r="AB20" s="651"/>
      <c r="AC20" s="651"/>
      <c r="AD20" s="652"/>
    </row>
    <row r="21" spans="3:30">
      <c r="C21" s="238"/>
      <c r="W21" s="653" t="s">
        <v>985</v>
      </c>
      <c r="X21" s="654"/>
      <c r="Y21" s="654"/>
      <c r="Z21" s="655"/>
      <c r="AA21" s="656" t="s">
        <v>986</v>
      </c>
      <c r="AB21" s="657"/>
      <c r="AC21" s="657"/>
      <c r="AD21" s="658"/>
    </row>
    <row r="22" spans="3:30">
      <c r="C22" s="238"/>
      <c r="W22" s="659"/>
      <c r="X22" s="660"/>
      <c r="Y22" s="485"/>
      <c r="Z22" s="488"/>
      <c r="AA22" s="661"/>
      <c r="AB22" s="662"/>
      <c r="AC22" s="248"/>
      <c r="AD22" s="249"/>
    </row>
    <row r="23" spans="3:30">
      <c r="C23" s="238"/>
      <c r="W23" s="659"/>
      <c r="X23" s="660"/>
      <c r="Y23" s="485"/>
      <c r="Z23" s="488"/>
      <c r="AA23" s="663"/>
      <c r="AB23" s="664"/>
      <c r="AC23" s="248"/>
      <c r="AD23" s="249"/>
    </row>
    <row r="24" spans="3:30">
      <c r="C24" s="238"/>
      <c r="W24" s="669"/>
      <c r="X24" s="670"/>
      <c r="Y24" s="246"/>
      <c r="Z24" s="247"/>
      <c r="AA24" s="671"/>
      <c r="AB24" s="672"/>
      <c r="AC24" s="248"/>
      <c r="AD24" s="249"/>
    </row>
    <row r="25" spans="3:30">
      <c r="C25" s="238"/>
      <c r="W25" s="669"/>
      <c r="X25" s="670"/>
      <c r="Y25" s="246"/>
      <c r="Z25" s="247"/>
      <c r="AA25" s="663"/>
      <c r="AB25" s="664"/>
      <c r="AC25" s="248"/>
      <c r="AD25" s="249"/>
    </row>
    <row r="26" spans="3:30">
      <c r="C26" s="238"/>
      <c r="W26" s="473"/>
      <c r="X26" s="474"/>
      <c r="Y26" s="246"/>
      <c r="Z26" s="247"/>
      <c r="AA26" s="663"/>
      <c r="AB26" s="664"/>
      <c r="AC26" s="248"/>
      <c r="AD26" s="249"/>
    </row>
    <row r="27" spans="3:30">
      <c r="C27" s="238"/>
      <c r="W27" s="473"/>
      <c r="X27" s="474"/>
      <c r="Y27" s="246"/>
      <c r="Z27" s="247"/>
      <c r="AA27" s="667"/>
      <c r="AB27" s="668"/>
      <c r="AC27" s="248"/>
      <c r="AD27" s="249"/>
    </row>
    <row r="28" spans="3:30">
      <c r="C28" s="238"/>
      <c r="W28" s="473"/>
      <c r="X28" s="474"/>
      <c r="Y28" s="246"/>
      <c r="Z28" s="247"/>
      <c r="AA28" s="667"/>
      <c r="AB28" s="668"/>
      <c r="AC28" s="248"/>
      <c r="AD28" s="249"/>
    </row>
    <row r="29" spans="3:30">
      <c r="C29" s="238"/>
      <c r="W29" s="473"/>
      <c r="X29" s="474"/>
      <c r="Y29" s="246"/>
      <c r="Z29" s="247"/>
      <c r="AA29" s="667"/>
      <c r="AB29" s="668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7"/>
      <c r="AB30" s="668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7"/>
      <c r="AB31" s="668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7"/>
      <c r="AB32" s="668"/>
      <c r="AC32" s="248"/>
      <c r="AD32" s="249"/>
    </row>
    <row r="33" spans="3:30">
      <c r="C33" s="238"/>
      <c r="W33" s="473"/>
      <c r="X33" s="474"/>
      <c r="Y33" s="246"/>
      <c r="Z33" s="247"/>
      <c r="AA33" s="667"/>
      <c r="AB33" s="668"/>
      <c r="AC33" s="248"/>
      <c r="AD33" s="249"/>
    </row>
    <row r="34" spans="3:30">
      <c r="C34" s="238"/>
      <c r="W34" s="473"/>
      <c r="X34" s="474"/>
      <c r="Y34" s="246"/>
      <c r="Z34" s="247"/>
      <c r="AA34" s="667"/>
      <c r="AB34" s="668"/>
      <c r="AC34" s="248"/>
      <c r="AD34" s="249"/>
    </row>
    <row r="35" spans="3:30">
      <c r="C35" s="238"/>
      <c r="W35" s="669"/>
      <c r="X35" s="682"/>
      <c r="Y35" s="246"/>
      <c r="Z35" s="247"/>
      <c r="AA35" s="667"/>
      <c r="AB35" s="668"/>
      <c r="AC35" s="248"/>
      <c r="AD35" s="249"/>
    </row>
    <row r="36" spans="3:30">
      <c r="C36" s="238"/>
      <c r="W36" s="673"/>
      <c r="X36" s="674"/>
      <c r="Y36" s="246"/>
      <c r="Z36" s="251"/>
      <c r="AA36" s="675"/>
      <c r="AB36" s="668"/>
      <c r="AC36" s="248"/>
      <c r="AD36" s="249"/>
    </row>
    <row r="37" spans="3:30" ht="12.75" customHeight="1">
      <c r="C37" s="238"/>
      <c r="W37" s="676"/>
      <c r="X37" s="677"/>
      <c r="Y37" s="246"/>
      <c r="Z37" s="251"/>
      <c r="AA37" s="678"/>
      <c r="AB37" s="679"/>
      <c r="AC37" s="252"/>
      <c r="AD37" s="253"/>
    </row>
    <row r="38" spans="3:30" ht="12.75" customHeight="1">
      <c r="C38" s="238"/>
      <c r="W38" s="676"/>
      <c r="X38" s="67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6"/>
      <c r="X39" s="677"/>
      <c r="Y39" s="254"/>
      <c r="Z39" s="257"/>
      <c r="AA39" s="680"/>
      <c r="AB39" s="681"/>
      <c r="AC39" s="252"/>
      <c r="AD39" s="253"/>
    </row>
    <row r="40" spans="3:30" ht="12" customHeight="1">
      <c r="C40" s="238"/>
      <c r="W40" s="686"/>
      <c r="X40" s="68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8"/>
      <c r="X41" s="689"/>
      <c r="Y41" s="260"/>
      <c r="Z41" s="261"/>
      <c r="AA41" s="680"/>
      <c r="AB41" s="681"/>
      <c r="AC41" s="252"/>
      <c r="AD41" s="253"/>
    </row>
    <row r="42" spans="3:30" ht="12" customHeight="1">
      <c r="C42" s="238"/>
      <c r="W42" s="690" t="s">
        <v>1456</v>
      </c>
      <c r="X42" s="691"/>
      <c r="Y42" s="691"/>
      <c r="Z42" s="69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3" t="s">
        <v>11</v>
      </c>
      <c r="X44" s="684"/>
      <c r="Y44" s="648"/>
      <c r="Z44" s="648"/>
      <c r="AA44" s="648"/>
      <c r="AB44" s="648"/>
      <c r="AC44" s="648"/>
      <c r="AD44" s="64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3" t="s">
        <v>984</v>
      </c>
      <c r="X45" s="684"/>
      <c r="Y45" s="648">
        <v>1</v>
      </c>
      <c r="Z45" s="648"/>
      <c r="AA45" s="648"/>
      <c r="AB45" s="648" t="s">
        <v>12</v>
      </c>
      <c r="AC45" s="64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3" t="s">
        <v>15</v>
      </c>
      <c r="X46" s="684"/>
      <c r="Y46" s="685"/>
      <c r="Z46" s="685"/>
      <c r="AA46" s="685"/>
      <c r="AB46" s="648" t="s">
        <v>16</v>
      </c>
      <c r="AC46" s="64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6" t="s">
        <v>17</v>
      </c>
      <c r="X47" s="696"/>
      <c r="Y47" s="696"/>
      <c r="Z47" s="696"/>
      <c r="AA47" s="696"/>
      <c r="AB47" s="696"/>
      <c r="AC47" s="696"/>
      <c r="AD47" s="69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8" t="str">
        <f>RAB!G6</f>
        <v>HERI SULISTYAWAN</v>
      </c>
      <c r="X48" s="699"/>
      <c r="Y48" s="699"/>
      <c r="Z48" s="699"/>
      <c r="AA48" s="699"/>
      <c r="AB48" s="699"/>
      <c r="AC48" s="699"/>
      <c r="AD48" s="70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8" t="str">
        <f>RAB!G7</f>
        <v>JL GAJAHAMADA 68 WIROSARI</v>
      </c>
      <c r="X49" s="699"/>
      <c r="Y49" s="699"/>
      <c r="Z49" s="699"/>
      <c r="AA49" s="699"/>
      <c r="AB49" s="699"/>
      <c r="AC49" s="699"/>
      <c r="AD49" s="70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3" t="s">
        <v>18</v>
      </c>
      <c r="X52" s="684"/>
      <c r="Y52" s="648" t="s">
        <v>1607</v>
      </c>
      <c r="Z52" s="648"/>
      <c r="AA52" s="648"/>
      <c r="AB52" s="648"/>
      <c r="AC52" s="648"/>
      <c r="AD52" s="64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3" t="s">
        <v>19</v>
      </c>
      <c r="X53" s="684"/>
      <c r="Y53" s="648" t="s">
        <v>1608</v>
      </c>
      <c r="Z53" s="648"/>
      <c r="AA53" s="648"/>
      <c r="AB53" s="648"/>
      <c r="AC53" s="648"/>
      <c r="AD53" s="64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3" t="s">
        <v>20</v>
      </c>
      <c r="X54" s="684"/>
      <c r="Y54" s="692" t="s">
        <v>1547</v>
      </c>
      <c r="Z54" s="692"/>
      <c r="AA54" s="692"/>
      <c r="AB54" s="648"/>
      <c r="AC54" s="648"/>
      <c r="AD54" s="64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3" t="s">
        <v>21</v>
      </c>
      <c r="X55" s="694"/>
      <c r="Y55" s="692"/>
      <c r="Z55" s="692"/>
      <c r="AA55" s="692"/>
      <c r="AB55" s="692"/>
      <c r="AC55" s="692"/>
      <c r="AD55" s="695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1528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1527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20"/>
      <c r="Z6" s="420"/>
      <c r="AA6" s="420"/>
      <c r="AB6" s="421"/>
      <c r="AC6" s="421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2023-10-16T07:15:21Z</dcterms:modified>
</cp:coreProperties>
</file>