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ftakhul.huda\Desktop\2020\01. PBPD\2024\01. JANUARI 2024\05. 52554 KKO KKF KARYONO BAKSO PB 13.2 KVA\"/>
    </mc:Choice>
  </mc:AlternateContent>
  <bookViews>
    <workbookView xWindow="0" yWindow="0" windowWidth="20490" windowHeight="750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RAB!$A$1:$K$73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3" i="11" l="1"/>
  <c r="J43" i="11" s="1"/>
  <c r="E43" i="11"/>
  <c r="G43" i="11"/>
  <c r="I43" i="11"/>
  <c r="D44" i="11"/>
  <c r="I44" i="11" s="1"/>
  <c r="E44" i="11"/>
  <c r="G44" i="11"/>
  <c r="D45" i="11"/>
  <c r="E45" i="11"/>
  <c r="G45" i="11"/>
  <c r="D46" i="11"/>
  <c r="E46" i="11"/>
  <c r="G46" i="11"/>
  <c r="D47" i="11"/>
  <c r="E47" i="11"/>
  <c r="G47" i="11"/>
  <c r="D48" i="11"/>
  <c r="I48" i="11" s="1"/>
  <c r="E48" i="11"/>
  <c r="G48" i="11"/>
  <c r="D34" i="11"/>
  <c r="J34" i="11" s="1"/>
  <c r="E34" i="11"/>
  <c r="G34" i="11"/>
  <c r="D35" i="11"/>
  <c r="J35" i="11" s="1"/>
  <c r="E35" i="11"/>
  <c r="G35" i="11"/>
  <c r="D36" i="11"/>
  <c r="I36" i="11" s="1"/>
  <c r="E36" i="11"/>
  <c r="G36" i="11"/>
  <c r="D37" i="11"/>
  <c r="H37" i="11" s="1"/>
  <c r="E37" i="11"/>
  <c r="G37" i="11"/>
  <c r="D38" i="11"/>
  <c r="H38" i="11" s="1"/>
  <c r="E38" i="11"/>
  <c r="G38" i="11"/>
  <c r="D39" i="11"/>
  <c r="E39" i="11"/>
  <c r="G39" i="11"/>
  <c r="D40" i="11"/>
  <c r="H40" i="11" s="1"/>
  <c r="E40" i="11"/>
  <c r="G40" i="11"/>
  <c r="D41" i="11"/>
  <c r="E41" i="11"/>
  <c r="G41" i="11"/>
  <c r="D42" i="11"/>
  <c r="H42" i="11" s="1"/>
  <c r="E42" i="11"/>
  <c r="G42" i="11"/>
  <c r="F21" i="11"/>
  <c r="F20" i="11"/>
  <c r="F19" i="11"/>
  <c r="F18" i="11"/>
  <c r="H43" i="11" l="1"/>
  <c r="I39" i="11"/>
  <c r="I47" i="11"/>
  <c r="I46" i="11"/>
  <c r="I45" i="11"/>
  <c r="H36" i="11"/>
  <c r="I35" i="11"/>
  <c r="H35" i="11"/>
  <c r="K35" i="11" s="1"/>
  <c r="H34" i="11"/>
  <c r="H48" i="11"/>
  <c r="H47" i="11"/>
  <c r="H46" i="11"/>
  <c r="H45" i="11"/>
  <c r="H44" i="11"/>
  <c r="K43" i="11"/>
  <c r="I38" i="11"/>
  <c r="J48" i="11"/>
  <c r="J47" i="11"/>
  <c r="J46" i="11"/>
  <c r="J45" i="11"/>
  <c r="J44" i="11"/>
  <c r="I41" i="11"/>
  <c r="I37" i="11"/>
  <c r="I34" i="11"/>
  <c r="H39" i="11"/>
  <c r="I40" i="11"/>
  <c r="J42" i="11"/>
  <c r="J41" i="11"/>
  <c r="J40" i="11"/>
  <c r="J39" i="11"/>
  <c r="J38" i="11"/>
  <c r="J37" i="11"/>
  <c r="J36" i="11"/>
  <c r="H41" i="11"/>
  <c r="I42" i="11"/>
  <c r="K42" i="11" s="1"/>
  <c r="K38" i="11" l="1"/>
  <c r="K46" i="11"/>
  <c r="K37" i="11"/>
  <c r="K47" i="11"/>
  <c r="K34" i="11"/>
  <c r="K45" i="11"/>
  <c r="K40" i="11"/>
  <c r="K36" i="11"/>
  <c r="K44" i="11"/>
  <c r="K48" i="11"/>
  <c r="K39" i="11"/>
  <c r="K41" i="11"/>
  <c r="D16" i="60" l="1"/>
  <c r="D26" i="11" l="1"/>
  <c r="H26" i="11" s="1"/>
  <c r="E26" i="11"/>
  <c r="G26" i="11"/>
  <c r="J26" i="11" l="1"/>
  <c r="I26" i="11"/>
  <c r="G6" i="11"/>
  <c r="K26" i="11" l="1"/>
  <c r="F33" i="11"/>
  <c r="F32" i="11"/>
  <c r="F31" i="11"/>
  <c r="F30" i="11"/>
  <c r="F29" i="11"/>
  <c r="D25" i="11"/>
  <c r="I25" i="11" s="1"/>
  <c r="E25" i="11"/>
  <c r="G25" i="11"/>
  <c r="D28" i="11"/>
  <c r="I28" i="11" s="1"/>
  <c r="E28" i="11"/>
  <c r="G28" i="11"/>
  <c r="D29" i="11"/>
  <c r="E29" i="11"/>
  <c r="G29" i="11"/>
  <c r="D30" i="11"/>
  <c r="H30" i="11" s="1"/>
  <c r="E30" i="11"/>
  <c r="G30" i="11"/>
  <c r="D31" i="11"/>
  <c r="E31" i="11"/>
  <c r="G31" i="11"/>
  <c r="D32" i="11"/>
  <c r="J32" i="11" s="1"/>
  <c r="E32" i="11"/>
  <c r="G32" i="11"/>
  <c r="D33" i="11"/>
  <c r="I33" i="11" s="1"/>
  <c r="E33" i="11"/>
  <c r="G33" i="11"/>
  <c r="J33" i="11" l="1"/>
  <c r="J30" i="11"/>
  <c r="H33" i="11"/>
  <c r="J25" i="11"/>
  <c r="H25" i="11"/>
  <c r="I32" i="11"/>
  <c r="I31" i="11"/>
  <c r="I29" i="11"/>
  <c r="H32" i="11"/>
  <c r="J31" i="11"/>
  <c r="I30" i="11"/>
  <c r="J28" i="11"/>
  <c r="H29" i="11"/>
  <c r="H31" i="11"/>
  <c r="H28" i="11"/>
  <c r="J29" i="11"/>
  <c r="D51" i="11"/>
  <c r="J51" i="11" s="1"/>
  <c r="E51" i="11"/>
  <c r="G51" i="11"/>
  <c r="G22" i="11"/>
  <c r="K33" i="11" l="1"/>
  <c r="K30" i="11"/>
  <c r="K32" i="11"/>
  <c r="K31" i="11"/>
  <c r="K25" i="11"/>
  <c r="K28" i="11"/>
  <c r="K29" i="11"/>
  <c r="I51" i="11"/>
  <c r="H51" i="11"/>
  <c r="K51" i="11" l="1"/>
  <c r="D23" i="11" l="1"/>
  <c r="I23" i="11" s="1"/>
  <c r="E23" i="11"/>
  <c r="G23" i="11"/>
  <c r="D24" i="11"/>
  <c r="I24" i="11" s="1"/>
  <c r="E24" i="11"/>
  <c r="G24" i="11"/>
  <c r="H24" i="11" l="1"/>
  <c r="H23" i="11"/>
  <c r="J24" i="11"/>
  <c r="J23" i="11"/>
  <c r="K24" i="11" l="1"/>
  <c r="K23" i="11"/>
  <c r="D22" i="11" l="1"/>
  <c r="E22" i="11"/>
  <c r="H22" i="11" l="1"/>
  <c r="I22" i="11"/>
  <c r="J22" i="11"/>
  <c r="D15" i="11"/>
  <c r="H15" i="11" s="1"/>
  <c r="E15" i="11"/>
  <c r="G15" i="11"/>
  <c r="D16" i="11"/>
  <c r="J16" i="11" s="1"/>
  <c r="E16" i="11"/>
  <c r="G16" i="11"/>
  <c r="D17" i="11"/>
  <c r="H17" i="11" s="1"/>
  <c r="E17" i="11"/>
  <c r="G17" i="11"/>
  <c r="D18" i="11"/>
  <c r="E18" i="11"/>
  <c r="G18" i="11"/>
  <c r="D19" i="11"/>
  <c r="E19" i="11"/>
  <c r="G19" i="11"/>
  <c r="D20" i="11"/>
  <c r="J20" i="11" s="1"/>
  <c r="E20" i="11"/>
  <c r="G20" i="11"/>
  <c r="D21" i="11"/>
  <c r="E21" i="11"/>
  <c r="G21" i="11"/>
  <c r="J21" i="11" l="1"/>
  <c r="K22" i="11"/>
  <c r="I15" i="11"/>
  <c r="J15" i="11"/>
  <c r="H19" i="11"/>
  <c r="I17" i="11"/>
  <c r="I19" i="11"/>
  <c r="J17" i="11"/>
  <c r="I21" i="11"/>
  <c r="I16" i="11"/>
  <c r="H21" i="11"/>
  <c r="I20" i="11"/>
  <c r="J19" i="11"/>
  <c r="H18" i="11"/>
  <c r="J18" i="11"/>
  <c r="I18" i="11"/>
  <c r="H20" i="11"/>
  <c r="H16" i="11"/>
  <c r="K15" i="11" l="1"/>
  <c r="K17" i="11"/>
  <c r="K16" i="11"/>
  <c r="K19" i="11"/>
  <c r="K21" i="11"/>
  <c r="K20" i="11"/>
  <c r="K18" i="11"/>
  <c r="W49" i="64"/>
  <c r="D52" i="11" l="1"/>
  <c r="I52" i="11" s="1"/>
  <c r="E52" i="11"/>
  <c r="G52" i="11"/>
  <c r="J52" i="11" l="1"/>
  <c r="H52" i="11"/>
  <c r="K52" i="11" l="1"/>
  <c r="D21" i="59" l="1"/>
  <c r="K6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5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53" i="11"/>
  <c r="D54" i="11"/>
  <c r="H54" i="11" s="1"/>
  <c r="E5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N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N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N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N1454" i="10" s="1"/>
  <c r="K1454" i="10"/>
  <c r="M1454" i="10" s="1"/>
  <c r="O1454" i="10"/>
  <c r="P1454" i="10" s="1"/>
  <c r="N739" i="10"/>
  <c r="N874" i="10"/>
  <c r="N857" i="10"/>
  <c r="N1070" i="10"/>
  <c r="N700" i="10"/>
  <c r="N775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664" i="10"/>
  <c r="N986" i="10"/>
  <c r="N922" i="10"/>
  <c r="N921" i="10"/>
  <c r="N908" i="10"/>
  <c r="N892" i="10"/>
  <c r="N884" i="10"/>
  <c r="N763" i="10"/>
  <c r="N645" i="10"/>
  <c r="N993" i="10"/>
  <c r="N964" i="10"/>
  <c r="N1085" i="10"/>
  <c r="N1053" i="10"/>
  <c r="N1045" i="10"/>
  <c r="N989" i="10"/>
  <c r="N977" i="10"/>
  <c r="N937" i="10"/>
  <c r="N845" i="10"/>
  <c r="N813" i="10"/>
  <c r="N925" i="10"/>
  <c r="N909" i="10"/>
  <c r="N896" i="10"/>
  <c r="N712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5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61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L42" i="39"/>
  <c r="L172" i="29"/>
  <c r="B171" i="29" l="1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53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54" i="11"/>
  <c r="I54" i="11"/>
  <c r="C294" i="29" l="1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89" i="29"/>
  <c r="E299" i="29"/>
  <c r="E268" i="29"/>
  <c r="E273" i="29"/>
  <c r="F308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54" i="11"/>
  <c r="E236" i="29" l="1"/>
  <c r="J53" i="11"/>
  <c r="K53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56" i="11"/>
  <c r="H57" i="11" s="1"/>
  <c r="I56" i="11"/>
  <c r="I57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88" i="29" l="1"/>
  <c r="F293" i="29"/>
  <c r="F294" i="29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58" i="11"/>
  <c r="I58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56" i="11"/>
  <c r="K57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56" i="11"/>
  <c r="J5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58" i="11"/>
  <c r="B59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5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78" i="41" l="1"/>
  <c r="F851" i="41"/>
  <c r="F783" i="41"/>
  <c r="F784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<sst xmlns="http://schemas.openxmlformats.org/spreadsheetml/2006/main" count="4716" uniqueCount="1625">
  <si>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</si>
  <si>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</si>
  <si>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</si>
  <si>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</si>
  <si>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</si>
  <si>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</si>
  <si>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</si>
  <si>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</si>
  <si>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</si>
  <si>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</si>
  <si>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</si>
  <si>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</si>
  <si>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</si>
  <si>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</si>
  <si>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</si>
  <si>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</si>
  <si>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</si>
  <si>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</si>
  <si>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</si>
  <si>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</si>
  <si>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</si>
  <si>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</si>
  <si>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</si>
  <si>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</si>
  <si>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</si>
  <si>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</si>
  <si>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</si>
  <si>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</si>
  <si>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</si>
  <si>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</si>
  <si>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</si>
  <si>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</si>
  <si>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</si>
  <si>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</si>
  <si>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</si>
  <si>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</si>
  <si>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</si>
  <si>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</si>
  <si>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</si>
  <si>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</si>
  <si>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</si>
  <si>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</si>
  <si>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</si>
  <si>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</si>
  <si>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</si>
  <si>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</si>
  <si>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</si>
  <si>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</si>
  <si>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</si>
  <si>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</si>
  <si>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</si>
  <si>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</si>
  <si>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</si>
  <si>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</si>
  <si>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</si>
  <si>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</si>
  <si>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</si>
  <si>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</si>
  <si>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</si>
  <si>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</si>
  <si>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</si>
  <si>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</si>
  <si>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</si>
  <si>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</si>
  <si>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</si>
  <si>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</si>
  <si>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</si>
  <si>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</si>
  <si>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</si>
  <si>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</si>
  <si>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</si>
  <si>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</si>
  <si>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</si>
  <si>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</si>
  <si>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</si>
  <si>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</si>
  <si>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</si>
  <si>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</si>
  <si>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</si>
  <si>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</si>
  <si>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</si>
  <si>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</si>
  <si>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</si>
  <si>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</si>
  <si>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</si>
  <si>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</si>
  <si>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</si>
  <si>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</si>
  <si>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</si>
  <si>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</si>
  <si>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</si>
  <si>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</si>
  <si>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</si>
  <si>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</si>
  <si>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</si>
  <si>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</si>
  <si>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</si>
  <si>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</si>
  <si>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</si>
  <si>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</si>
  <si>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</si>
  <si>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</si>
  <si>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</si>
  <si>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</si>
  <si>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</si>
  <si>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</si>
  <si>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</si>
  <si>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</si>
  <si>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</si>
  <si>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</si>
  <si>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</si>
  <si>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</si>
  <si>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</si>
  <si>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</si>
  <si>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</si>
  <si>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</si>
  <si>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</si>
  <si>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</si>
  <si>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</si>
  <si>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</si>
  <si>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</si>
  <si>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</si>
  <si>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</si>
  <si>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</si>
  <si>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</si>
  <si>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</si>
  <si>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</si>
  <si>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</si>
  <si>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</si>
  <si>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</si>
  <si>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</si>
  <si>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</si>
  <si>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</si>
  <si>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</si>
  <si>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</si>
  <si>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</si>
  <si>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</si>
  <si>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</si>
  <si>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</si>
  <si>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</si>
  <si>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</si>
  <si>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</si>
  <si>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</si>
  <si>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</si>
  <si>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</si>
  <si>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</si>
  <si>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</si>
  <si>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</si>
  <si>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</si>
  <si>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</si>
  <si>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</si>
  <si>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</si>
  <si>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</si>
  <si>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</si>
  <si>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</si>
  <si>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</si>
  <si>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</si>
  <si>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</si>
  <si>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</si>
  <si>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</si>
  <si>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</si>
  <si>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</si>
  <si>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</si>
  <si>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</si>
  <si>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</si>
  <si>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</si>
  <si>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</si>
  <si>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</si>
  <si>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</si>
  <si>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</si>
  <si>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</si>
  <si>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</si>
  <si>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</si>
  <si>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</si>
  <si>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</si>
  <si>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</si>
  <si>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</si>
  <si>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</si>
  <si>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</si>
  <si>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</si>
  <si>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</si>
  <si>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</si>
  <si>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</si>
  <si>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</si>
  <si>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</si>
  <si>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</si>
  <si>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</si>
  <si>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</si>
  <si>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</si>
  <si>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</si>
  <si>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</si>
  <si>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</si>
  <si>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</si>
  <si>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</si>
  <si>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</si>
  <si>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</si>
  <si>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</si>
  <si>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</si>
  <si>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</si>
  <si>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</si>
  <si>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</si>
  <si>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</si>
  <si>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</si>
  <si>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</si>
  <si>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</si>
  <si>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</si>
  <si>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</si>
  <si>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</si>
  <si>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</si>
  <si>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</si>
  <si>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</si>
  <si>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</si>
  <si>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</si>
  <si>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</si>
  <si>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</si>
  <si>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</si>
  <si>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</si>
  <si>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</si>
  <si>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</si>
  <si>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</si>
  <si>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</si>
  <si>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</si>
  <si>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</si>
  <si>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</si>
  <si>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</si>
  <si>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</si>
  <si>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</si>
  <si>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</si>
  <si>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</si>
  <si>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</si>
  <si>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</si>
  <si>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</si>
  <si>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</si>
  <si>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</si>
  <si>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</si>
  <si>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</si>
  <si>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</si>
  <si>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</si>
  <si>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</si>
  <si>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</si>
  <si>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</si>
  <si>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</si>
  <si>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</si>
  <si>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</si>
  <si>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</si>
  <si>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</si>
  <si>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</si>
  <si>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</si>
  <si>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</si>
  <si>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</si>
  <si>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</si>
  <si>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</si>
  <si>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</si>
  <si>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</si>
  <si>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</si>
  <si>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</si>
  <si>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</si>
  <si>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</si>
  <si>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</si>
  <si>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</si>
  <si>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</si>
  <si>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</si>
  <si>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</si>
  <si>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</si>
  <si>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</si>
  <si>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</si>
  <si>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</si>
  <si>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</si>
  <si>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</si>
  <si>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</si>
  <si>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</si>
  <si>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</si>
  <si>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</si>
  <si>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</si>
  <si>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</si>
  <si>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</si>
  <si>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</si>
  <si>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</si>
  <si>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</si>
  <si>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</si>
  <si>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</si>
  <si>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</si>
  <si>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</si>
  <si>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</si>
  <si>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</si>
  <si>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</si>
  <si>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</si>
  <si>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</si>
  <si>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</si>
  <si>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</si>
  <si>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</si>
  <si>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</si>
  <si>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</si>
  <si>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</si>
  <si>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</si>
  <si>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</si>
  <si>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</si>
  <si>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</si>
  <si>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</si>
  <si>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</si>
  <si>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</si>
  <si>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</si>
  <si>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</si>
  <si>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</si>
  <si>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</si>
  <si>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</si>
  <si>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</si>
  <si>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</si>
  <si>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</si>
  <si>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</si>
  <si>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</si>
  <si>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</si>
  <si>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</si>
  <si>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</si>
  <si>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</si>
  <si>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</si>
  <si>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</si>
  <si>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</si>
  <si>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</si>
  <si>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</si>
  <si>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</si>
  <si>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</si>
  <si>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</si>
  <si>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</si>
  <si>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</si>
  <si>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</si>
  <si>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</si>
  <si>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</si>
  <si>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</si>
  <si>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</si>
  <si>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</si>
  <si>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</si>
  <si>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</si>
  <si>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</si>
  <si>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</si>
  <si>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</si>
  <si>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</si>
  <si>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</si>
  <si>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</si>
  <si>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</si>
  <si>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</si>
  <si>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</si>
  <si>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</si>
  <si>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</si>
  <si>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</si>
  <si>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</si>
  <si>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</si>
  <si>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</si>
  <si>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</si>
  <si>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</si>
  <si>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</si>
  <si>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</si>
  <si>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</si>
  <si>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</si>
  <si>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</si>
  <si>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</si>
  <si>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</si>
  <si>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</si>
  <si>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</si>
  <si>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</si>
  <si>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</si>
  <si>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</si>
  <si>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</si>
  <si>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</si>
  <si>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</si>
  <si>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</si>
  <si>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</si>
  <si>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</si>
  <si>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</si>
  <si>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</si>
  <si>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</si>
  <si>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</si>
  <si>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</si>
  <si>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</si>
  <si>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</si>
  <si>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</si>
  <si>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</si>
  <si>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</si>
  <si>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</si>
  <si>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</si>
  <si>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</si>
  <si>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</si>
  <si>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</si>
  <si>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</si>
  <si>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</si>
  <si>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</si>
  <si>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</si>
  <si>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</si>
  <si>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</si>
  <si>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</si>
  <si>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</si>
  <si>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</si>
  <si>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</si>
  <si>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</si>
  <si>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</si>
  <si>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</si>
  <si>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</si>
  <si>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</si>
  <si>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</si>
  <si>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</si>
  <si>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</si>
  <si>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</si>
  <si>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</si>
  <si>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</si>
  <si>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</si>
  <si>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</si>
  <si>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</si>
  <si>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</si>
  <si>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</si>
  <si>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</si>
  <si>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</si>
  <si>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</si>
  <si>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</si>
  <si>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</si>
  <si>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</si>
  <si>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</si>
  <si>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</si>
  <si>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</si>
  <si>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</si>
  <si>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</si>
  <si>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</si>
  <si>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</si>
  <si>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</si>
  <si>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</si>
  <si>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</si>
  <si>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</si>
  <si>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</si>
  <si>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</si>
  <si>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</si>
  <si>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</si>
  <si>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</si>
  <si>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</si>
  <si>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</si>
  <si>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</si>
  <si>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</si>
  <si>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</si>
  <si>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</si>
  <si>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</si>
  <si>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</si>
  <si>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</si>
  <si>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</si>
  <si>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</si>
  <si>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</si>
  <si>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</si>
  <si>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</si>
  <si>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</si>
  <si>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</si>
  <si>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</si>
  <si>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</si>
  <si>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</si>
  <si>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</si>
  <si>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</si>
  <si>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</si>
  <si>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</si>
  <si>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</si>
  <si>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</si>
  <si>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</si>
  <si>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</si>
  <si>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</si>
  <si>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</si>
  <si>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</si>
  <si>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</si>
  <si>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</si>
  <si>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</si>
  <si>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</si>
  <si>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</si>
  <si>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</si>
  <si>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</si>
  <si>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</si>
  <si>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</si>
  <si>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</si>
  <si>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</si>
  <si>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</si>
  <si>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</si>
  <si>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</si>
  <si>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</si>
  <si>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</si>
  <si>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</si>
  <si>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</si>
  <si>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</si>
  <si>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</si>
  <si>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</si>
  <si>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</si>
  <si>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</si>
  <si>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</si>
  <si>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</si>
  <si>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</si>
  <si>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</si>
  <si>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</si>
  <si>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</si>
  <si>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</si>
  <si>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</si>
  <si>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</si>
  <si>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</si>
  <si>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</si>
  <si>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</si>
  <si>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</si>
  <si>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</si>
  <si>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</si>
  <si>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</si>
  <si>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</si>
  <si>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</si>
  <si>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</si>
  <si>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</si>
  <si>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</si>
  <si>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</si>
  <si>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</si>
  <si>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</si>
  <si>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</si>
  <si>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</si>
  <si>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</si>
  <si>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</si>
  <si>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</si>
  <si>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</si>
  <si>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</si>
  <si>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</si>
  <si>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</si>
  <si>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</si>
  <si>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</si>
  <si>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</si>
  <si>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</si>
  <si>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</si>
  <si>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</si>
  <si>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</si>
  <si>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</si>
  <si>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</si>
  <si>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</si>
  <si>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</si>
  <si>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</si>
  <si>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</si>
  <si>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</si>
  <si>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</si>
  <si>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</si>
  <si>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</si>
  <si>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</si>
  <si>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</si>
  <si>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</si>
  <si>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</si>
  <si>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</si>
  <si>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</si>
  <si>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</si>
  <si>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</si>
  <si>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</si>
  <si>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</si>
  <si>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</si>
  <si>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</si>
  <si>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</si>
  <si>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</si>
  <si>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</si>
  <si>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</si>
  <si>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</si>
  <si>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</si>
  <si>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</si>
  <si>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</si>
  <si>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</si>
  <si>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</si>
  <si>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</si>
  <si>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</si>
  <si>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</si>
  <si>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</si>
  <si>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</si>
  <si>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</si>
  <si>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</si>
  <si>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</si>
  <si>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</si>
  <si>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</si>
  <si>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</si>
  <si>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</si>
  <si>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</si>
  <si>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</si>
  <si>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</si>
  <si>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</si>
  <si>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</si>
  <si>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</si>
  <si>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</si>
  <si>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</si>
  <si>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</si>
  <si>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</si>
  <si>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</si>
  <si>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</si>
  <si>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</si>
  <si>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</si>
  <si>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</si>
  <si>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</si>
  <si>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</si>
  <si>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</si>
  <si>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</si>
  <si>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</si>
  <si>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</si>
  <si>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</si>
  <si>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</si>
  <si>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</si>
  <si>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</si>
  <si>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</si>
  <si>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</si>
  <si>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</si>
  <si>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</si>
  <si>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</si>
  <si>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</si>
  <si>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</si>
  <si>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</si>
  <si>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</si>
  <si>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</si>
  <si>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</si>
  <si>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</si>
  <si>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</si>
  <si>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</si>
  <si>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</si>
  <si>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</si>
  <si>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</si>
  <si>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</si>
  <si>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</si>
  <si>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</si>
  <si>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</si>
  <si>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</si>
  <si>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</si>
  <si>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</si>
  <si>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</si>
  <si>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</si>
  <si>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</si>
  <si>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</si>
  <si>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</si>
  <si>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</si>
  <si>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</si>
  <si>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</si>
  <si>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</si>
  <si>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</si>
  <si>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</si>
  <si>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</si>
  <si>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</si>
  <si>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</si>
  <si>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</si>
  <si>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</si>
  <si>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</si>
  <si>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</si>
  <si>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</si>
  <si>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</si>
  <si>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</si>
  <si>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</si>
  <si>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</si>
  <si>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</si>
  <si>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</si>
  <si>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</si>
  <si>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</si>
  <si>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</si>
  <si>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</si>
  <si>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</si>
  <si>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</si>
  <si>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</si>
  <si>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</si>
  <si>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</si>
  <si>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</si>
  <si>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</si>
  <si>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</si>
  <si>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</si>
  <si>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</si>
  <si>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</si>
  <si>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</si>
  <si>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</si>
  <si>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</si>
  <si>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</si>
  <si>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</si>
  <si>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</si>
  <si>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</si>
  <si>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</si>
  <si>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</si>
  <si>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</si>
  <si>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</si>
  <si>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</si>
  <si>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</si>
  <si>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</si>
  <si>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</si>
  <si>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</si>
  <si>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</si>
  <si>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</si>
  <si>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</si>
  <si>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</si>
  <si>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</si>
  <si>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</si>
  <si>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</si>
  <si>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</si>
  <si>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</si>
  <si>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</si>
  <si>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</si>
  <si>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</si>
  <si>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</si>
  <si>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</si>
  <si>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</si>
  <si>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</si>
  <si>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</si>
  <si>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</si>
  <si>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</si>
  <si>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</si>
  <si>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</si>
  <si>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</si>
  <si>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</si>
  <si>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</si>
  <si>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</si>
  <si>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</si>
  <si>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</si>
  <si>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</si>
  <si>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</si>
  <si>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</si>
  <si>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</si>
  <si>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</si>
  <si>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</si>
  <si>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</si>
  <si>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</si>
  <si>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</si>
  <si>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</si>
  <si>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</si>
  <si>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</si>
  <si>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</si>
  <si>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</si>
  <si>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</si>
  <si>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</si>
  <si>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</si>
  <si>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</si>
  <si>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</si>
  <si>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</si>
  <si>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</si>
  <si>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</si>
  <si>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</si>
  <si>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</si>
  <si>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</si>
  <si>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</si>
  <si>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</si>
  <si>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</si>
  <si>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</si>
  <si>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</si>
  <si>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</si>
  <si>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</si>
  <si>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</si>
  <si>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</si>
  <si>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</si>
  <si>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</si>
  <si>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</si>
  <si>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</si>
  <si>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</si>
  <si>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</si>
  <si>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</si>
  <si>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</si>
  <si>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</si>
  <si>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</si>
  <si>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</si>
  <si>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</si>
  <si>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</si>
  <si>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</si>
  <si>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</si>
  <si>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</si>
  <si>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</si>
  <si>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</si>
  <si>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</si>
  <si>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</si>
  <si>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</si>
  <si>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</si>
  <si>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</si>
  <si>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</si>
  <si>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</si>
  <si>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</si>
  <si>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</si>
  <si>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</si>
  <si>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</si>
  <si>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</si>
  <si>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</si>
  <si>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</si>
  <si>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</si>
  <si>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</si>
  <si>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</si>
  <si>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</si>
  <si>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</si>
  <si>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</si>
  <si>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</si>
  <si>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</si>
  <si>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</si>
  <si>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</si>
  <si>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</si>
  <si>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</si>
  <si>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</si>
  <si>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</si>
  <si>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</si>
  <si>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</si>
  <si>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</si>
  <si>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</si>
  <si>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</si>
  <si>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</si>
  <si>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</si>
  <si>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</si>
  <si>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</si>
  <si>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</si>
  <si>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</si>
  <si>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</si>
  <si>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</si>
  <si>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</si>
  <si>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</si>
  <si>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</si>
  <si>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</si>
  <si>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</si>
  <si>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</si>
  <si>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</si>
  <si>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</si>
  <si>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</si>
  <si>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</si>
  <si>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</si>
  <si>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</si>
  <si>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</si>
  <si>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</si>
  <si>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</si>
  <si>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</si>
  <si>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</si>
  <si>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</si>
  <si>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</si>
  <si>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</si>
  <si>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</si>
  <si>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</si>
  <si>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</si>
  <si>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</si>
  <si>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</si>
  <si>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</si>
  <si>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</si>
  <si>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</si>
  <si>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</si>
  <si>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</si>
  <si>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</si>
  <si>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</si>
  <si>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</si>
  <si>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</si>
  <si>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</si>
  <si>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</si>
  <si>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</si>
  <si>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</si>
  <si>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</si>
  <si>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</si>
  <si>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</si>
  <si>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</si>
  <si>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</si>
  <si>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</si>
  <si>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</si>
  <si>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</si>
  <si>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</si>
  <si>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</si>
  <si>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</si>
  <si>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</si>
  <si>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</si>
  <si>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</si>
  <si>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</si>
  <si>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</si>
  <si>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</si>
  <si>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</si>
  <si>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</si>
  <si>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</si>
  <si>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</si>
  <si>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</si>
  <si>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</si>
  <si>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</si>
  <si>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</si>
  <si>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</si>
  <si>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</si>
  <si>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</si>
  <si>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</si>
  <si>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</si>
  <si>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</si>
  <si>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</si>
  <si>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</si>
  <si>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</si>
  <si>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</si>
  <si>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</si>
  <si>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</si>
  <si>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</si>
  <si>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</si>
  <si>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</si>
  <si>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</si>
  <si>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</si>
  <si>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</si>
  <si>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</si>
  <si>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</si>
  <si>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</si>
  <si>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</si>
  <si>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</si>
  <si>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</si>
  <si>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</si>
  <si>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</si>
  <si>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</si>
  <si>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</si>
  <si>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</si>
  <si>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</si>
  <si>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</si>
  <si>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</si>
  <si>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</si>
  <si>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</si>
  <si>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</si>
  <si>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</si>
  <si>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</si>
  <si>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</si>
  <si>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</si>
  <si>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</si>
  <si>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</si>
  <si>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</si>
  <si>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</si>
  <si>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</si>
  <si>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</si>
  <si>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</si>
  <si>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</si>
  <si>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</si>
  <si>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</si>
  <si>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</si>
  <si>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</si>
  <si>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</si>
  <si>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</si>
  <si>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</si>
  <si>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</si>
  <si>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</si>
  <si>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</si>
  <si>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</si>
  <si>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</si>
  <si>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</si>
  <si>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</si>
  <si>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</si>
  <si>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</si>
  <si>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</si>
  <si>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</si>
  <si>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</si>
  <si>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</si>
  <si>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</si>
  <si>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</si>
  <si>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</si>
  <si>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</si>
  <si>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</si>
  <si>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</si>
  <si>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</si>
  <si>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</si>
  <si>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</si>
  <si>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</si>
  <si>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</si>
  <si>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</si>
  <si>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</si>
  <si>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</si>
  <si>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</si>
  <si>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</si>
  <si>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</si>
  <si>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</si>
  <si>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</si>
  <si>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</si>
  <si>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</si>
  <si>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</si>
  <si>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</si>
  <si>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</si>
  <si>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</si>
  <si>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</si>
  <si>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</si>
  <si>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</si>
  <si>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</si>
  <si>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</si>
  <si>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</si>
  <si>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</si>
  <si>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</si>
  <si>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</si>
  <si>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</si>
  <si>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</si>
  <si>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</si>
  <si>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</si>
  <si>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</si>
  <si>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</si>
  <si>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</si>
  <si>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</si>
  <si>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</si>
  <si>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</si>
  <si>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</si>
  <si>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</si>
  <si>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</si>
  <si>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</si>
  <si>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</si>
  <si>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</si>
  <si>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</si>
  <si>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</si>
  <si>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</si>
  <si>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</si>
  <si>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</si>
  <si>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</si>
  <si>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</si>
  <si>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</si>
  <si>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</si>
  <si>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</si>
  <si>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</si>
  <si>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</si>
  <si>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</si>
  <si>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</si>
  <si>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</si>
  <si>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</si>
  <si>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</si>
  <si>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</si>
  <si>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</si>
  <si>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</si>
  <si>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</si>
  <si>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</si>
  <si>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</si>
  <si>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</si>
  <si>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</si>
  <si>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</si>
  <si>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</si>
  <si>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</si>
  <si>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</si>
  <si>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</si>
  <si>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</si>
  <si>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</si>
  <si>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</si>
  <si>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</si>
  <si>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</si>
  <si>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</si>
  <si>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</si>
  <si>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</si>
  <si>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</si>
  <si>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</si>
  <si>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</si>
  <si>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</si>
  <si>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</si>
  <si>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</si>
  <si>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</si>
  <si>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</si>
  <si>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</si>
  <si>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</si>
  <si>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</si>
  <si>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</si>
  <si>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</si>
  <si>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</si>
  <si>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</si>
  <si>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</si>
  <si>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</si>
  <si>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</si>
  <si>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</si>
  <si>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</si>
  <si>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</si>
  <si>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</si>
  <si>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</si>
  <si>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</si>
  <si>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</si>
  <si>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</si>
  <si>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</si>
  <si>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</si>
  <si>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</si>
  <si>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</si>
  <si>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</si>
  <si>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</si>
  <si>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</si>
  <si>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</si>
  <si>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</si>
  <si>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</si>
  <si>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</si>
  <si>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</si>
  <si>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</si>
  <si>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</si>
  <si>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</si>
  <si>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</si>
  <si>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</si>
  <si>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</si>
  <si>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</si>
  <si>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</si>
  <si>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</si>
  <si>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</si>
  <si>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</si>
  <si>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</si>
  <si>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</si>
  <si>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</si>
  <si>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</si>
  <si>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</si>
  <si>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</si>
  <si>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</si>
  <si>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</si>
  <si>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</si>
  <si>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</si>
  <si>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</si>
  <si>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</si>
  <si>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</si>
  <si>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</si>
  <si>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</si>
  <si>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</si>
  <si>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</si>
  <si>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</si>
  <si>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</si>
  <si>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</si>
  <si>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</si>
  <si>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</si>
  <si>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</si>
  <si>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</si>
  <si>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</si>
  <si>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</si>
  <si>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</si>
  <si>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</si>
  <si>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</si>
  <si>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</si>
  <si>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</si>
  <si>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</si>
  <si>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</si>
  <si>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</si>
  <si>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</si>
  <si>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</si>
  <si>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</si>
  <si>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</si>
  <si>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</si>
  <si>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</si>
  <si>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</si>
  <si>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</si>
  <si>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</si>
  <si>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</si>
  <si>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</si>
  <si>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</si>
  <si>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</si>
  <si>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</si>
  <si>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</si>
  <si>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</si>
  <si>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</si>
  <si>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</si>
  <si>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</si>
  <si>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</si>
  <si>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</si>
  <si>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</si>
  <si>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</si>
  <si>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</si>
  <si>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</si>
  <si>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</si>
  <si>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</si>
  <si>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</si>
  <si>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</si>
  <si>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</si>
  <si>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</si>
  <si>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</si>
  <si>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</si>
  <si>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</si>
  <si>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</si>
  <si>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</si>
  <si>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</si>
  <si>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</si>
  <si>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</si>
  <si>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</si>
  <si>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</si>
  <si>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</si>
  <si>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</si>
  <si>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</si>
  <si>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</si>
  <si>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</si>
  <si>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</si>
  <si>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</si>
  <si>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</si>
  <si>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</si>
  <si>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</si>
  <si>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</si>
  <si>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</si>
  <si>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</si>
  <si>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</si>
  <si>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</si>
  <si>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</si>
  <si>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</si>
  <si>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</si>
  <si>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</si>
  <si>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</si>
  <si>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</si>
  <si>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</si>
  <si>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</si>
  <si>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</si>
  <si>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</si>
  <si>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</si>
  <si>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</si>
  <si>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</si>
  <si>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</si>
  <si>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</si>
  <si>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</si>
  <si>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</si>
  <si>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</si>
  <si>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</si>
  <si>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</si>
  <si>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</si>
  <si>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</si>
  <si>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</si>
  <si>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</si>
  <si>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</si>
  <si>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</si>
  <si>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</si>
  <si>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</si>
  <si>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</si>
  <si>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</si>
  <si>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</si>
  <si>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</si>
  <si>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</si>
  <si>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</si>
  <si>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</si>
  <si>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</si>
  <si>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</si>
  <si>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</si>
  <si>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</si>
  <si>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</si>
  <si>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</si>
  <si>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</si>
  <si>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</si>
  <si>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</si>
  <si>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</si>
  <si>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</si>
  <si>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</si>
  <si>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</si>
  <si>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</si>
  <si>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</si>
  <si>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</si>
  <si>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</si>
  <si>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</si>
  <si>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</si>
  <si>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</si>
  <si>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</si>
  <si>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</si>
  <si>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</si>
  <si>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</si>
  <si>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</si>
  <si>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</si>
  <si>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</si>
  <si>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</si>
  <si>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</si>
  <si>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</si>
  <si>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</si>
  <si>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</si>
  <si>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</si>
  <si>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</si>
  <si>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</si>
  <si>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</si>
  <si>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</si>
  <si>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</si>
  <si>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</si>
  <si>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</si>
  <si>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</si>
  <si>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</si>
  <si>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</si>
  <si>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</si>
  <si>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</si>
  <si>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</si>
  <si>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</si>
  <si>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</si>
  <si>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</si>
  <si>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</si>
  <si>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</si>
  <si>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</si>
  <si>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</si>
  <si>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</si>
  <si>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</si>
  <si>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</si>
  <si>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</si>
  <si>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</si>
  <si>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</si>
  <si>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</si>
  <si>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</si>
  <si>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</si>
  <si>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</si>
  <si>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</si>
  <si>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</si>
  <si>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</si>
  <si>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</si>
  <si>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</si>
  <si>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</si>
  <si>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</si>
  <si>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</si>
  <si>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</si>
  <si>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</si>
  <si>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</si>
  <si>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</si>
  <si>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</si>
  <si>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</si>
  <si>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</si>
  <si>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</si>
  <si>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</si>
  <si>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</si>
  <si>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</si>
  <si>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</si>
  <si>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</si>
  <si>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</si>
  <si>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</si>
  <si>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</si>
  <si>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</si>
  <si>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</si>
  <si>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</si>
  <si>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</si>
  <si>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</si>
  <si>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</si>
  <si>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</si>
  <si>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</si>
  <si>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</si>
  <si>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</si>
  <si>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</si>
  <si>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</si>
  <si>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</si>
  <si>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</si>
  <si>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</si>
  <si>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</si>
  <si>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</si>
  <si>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</si>
  <si>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</si>
  <si>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</si>
  <si>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</si>
  <si>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</si>
  <si>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</si>
  <si>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</si>
  <si>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</si>
  <si>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</si>
  <si>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</si>
  <si>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</si>
  <si>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</si>
  <si>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</si>
  <si>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</si>
  <si>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</si>
  <si>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</si>
  <si>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</si>
  <si>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</si>
  <si>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</si>
  <si>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</si>
  <si>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</si>
  <si>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</si>
  <si>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</si>
  <si>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</si>
  <si>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</si>
  <si>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</si>
  <si>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</si>
  <si>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</si>
  <si>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</si>
  <si>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</si>
  <si>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</si>
  <si>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</si>
  <si>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</si>
  <si>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</si>
  <si>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</si>
  <si>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</si>
  <si>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</si>
  <si>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</si>
  <si>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</si>
  <si>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</si>
  <si>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</si>
  <si>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</si>
  <si>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</si>
  <si>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</si>
  <si>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</si>
  <si>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</si>
  <si>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</si>
  <si>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</si>
  <si>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</si>
  <si>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</si>
  <si>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</si>
  <si>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</si>
  <si>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</si>
  <si>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</si>
  <si>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</si>
  <si>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</si>
  <si>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</si>
  <si>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</si>
  <si>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</si>
  <si>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</si>
  <si>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</si>
  <si>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</si>
  <si>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</si>
  <si>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</si>
  <si>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</si>
  <si>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</si>
  <si>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</si>
  <si>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</si>
  <si>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</si>
  <si>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</si>
  <si>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</si>
  <si>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</si>
  <si>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</si>
  <si>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</si>
  <si>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</si>
  <si>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</si>
  <si>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</si>
  <si>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</si>
  <si>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</si>
  <si>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</si>
  <si>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</si>
  <si>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</si>
  <si>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</si>
  <si>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</si>
  <si>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</si>
  <si>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</si>
  <si>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</si>
  <si>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</si>
  <si>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</si>
  <si>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</si>
  <si>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</si>
  <si>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</si>
  <si>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</si>
  <si>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</si>
  <si>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</si>
  <si>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</si>
  <si>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</si>
  <si>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</si>
  <si>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</si>
  <si>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</si>
  <si>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</si>
  <si>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</si>
  <si>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</si>
  <si>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</si>
  <si>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</si>
  <si>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</si>
  <si>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</si>
  <si>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</si>
  <si>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</si>
  <si>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</si>
  <si>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</si>
  <si>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</si>
  <si>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</si>
  <si>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</si>
  <si>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</si>
  <si>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</si>
  <si>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</si>
  <si>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</si>
  <si>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</si>
  <si>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</si>
  <si>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</si>
  <si>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</si>
  <si>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</si>
  <si>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</si>
  <si>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</si>
  <si>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</si>
  <si>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</si>
  <si>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</si>
  <si>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</si>
  <si>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</si>
  <si>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</si>
  <si>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</si>
  <si>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</si>
  <si>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</si>
  <si>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</si>
  <si>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</si>
  <si>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</si>
  <si>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</si>
  <si>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</si>
  <si>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</si>
  <si>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</si>
  <si>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</si>
  <si>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</si>
  <si>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</si>
  <si>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</si>
  <si>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</si>
  <si>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</si>
  <si>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</si>
  <si>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</si>
  <si>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</si>
  <si>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</si>
  <si>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</si>
  <si>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</si>
  <si>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</si>
  <si>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</si>
  <si>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</si>
  <si>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</si>
  <si>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</si>
  <si>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</si>
  <si>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</si>
  <si>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</si>
  <si>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</si>
  <si>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</si>
  <si>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</si>
  <si>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</si>
  <si>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</si>
  <si>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</si>
  <si>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</si>
  <si>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</si>
  <si>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</si>
  <si>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</si>
  <si>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</si>
  <si>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</si>
  <si>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</si>
  <si>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</si>
  <si>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</si>
  <si>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</si>
  <si>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</si>
  <si>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</si>
  <si>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</si>
  <si>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</si>
  <si>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</si>
  <si>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</si>
  <si>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</si>
  <si>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</si>
  <si>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</si>
  <si>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</si>
  <si>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</si>
  <si>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</si>
  <si>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</si>
  <si>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</si>
  <si>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</si>
  <si>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</si>
  <si>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</si>
  <si>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</si>
  <si>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</si>
  <si>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</si>
  <si>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</si>
  <si>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</si>
  <si>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</si>
  <si>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</si>
  <si>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</si>
  <si>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</si>
  <si>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</si>
  <si>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</si>
  <si>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</si>
  <si>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</si>
  <si>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</si>
  <si>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</si>
  <si>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</si>
  <si>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</si>
  <si>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</si>
  <si>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</si>
  <si>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</si>
  <si>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</si>
  <si>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</si>
  <si>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</si>
  <si>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</si>
  <si>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</si>
  <si>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</si>
  <si>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</si>
  <si>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</si>
  <si>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</si>
  <si>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</si>
  <si>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</si>
  <si>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</si>
  <si>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</si>
  <si>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</si>
  <si>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</si>
  <si>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</si>
  <si>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</si>
  <si>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</si>
  <si>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</si>
  <si>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</si>
  <si>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</si>
  <si>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</si>
  <si>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</si>
  <si>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</si>
  <si>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</si>
  <si>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</si>
  <si>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</si>
  <si>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</si>
  <si>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</si>
  <si>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</si>
  <si>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</si>
  <si>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</si>
  <si>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</si>
  <si>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</si>
  <si>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</si>
  <si>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</si>
  <si>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</si>
  <si>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</si>
  <si>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</si>
  <si>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</si>
  <si>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</si>
  <si>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</si>
  <si>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</si>
  <si>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</si>
  <si>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</si>
  <si>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</si>
  <si>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</si>
  <si>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</si>
  <si>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</si>
  <si>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</si>
  <si>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</si>
  <si>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</si>
  <si>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</si>
  <si>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</si>
  <si>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</si>
  <si>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</si>
  <si>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</si>
  <si>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</si>
  <si>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</si>
  <si>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</si>
  <si>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</si>
  <si>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</si>
  <si>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</si>
  <si>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</si>
  <si>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</si>
  <si>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</si>
  <si>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</si>
  <si>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</si>
  <si>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</si>
  <si>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</si>
  <si>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</si>
  <si>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</si>
  <si>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</si>
  <si>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</si>
  <si>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</si>
  <si>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</si>
  <si>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</si>
  <si>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</si>
  <si>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</si>
  <si>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</si>
  <si>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</si>
  <si>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</si>
  <si>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</si>
  <si>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</si>
  <si>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</si>
  <si>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</si>
  <si>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</si>
  <si>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</si>
  <si>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</si>
  <si>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</si>
  <si>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</si>
  <si>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</si>
  <si>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</si>
  <si>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</si>
  <si>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</si>
  <si>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</si>
  <si>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</si>
  <si>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</si>
  <si>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</si>
  <si>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</si>
  <si>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</si>
  <si>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</si>
  <si>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</si>
  <si>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</si>
  <si>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</si>
  <si>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</si>
  <si>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</si>
  <si>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B2</t>
  </si>
  <si>
    <t>SUCIPTO ARIEF WIBOWO</t>
  </si>
  <si>
    <t>PEKERJAAN PEMASANGAN JTR</t>
  </si>
  <si>
    <t>PEKERJAAN PEMASANGAN APP</t>
  </si>
  <si>
    <t xml:space="preserve">KOORDINAT : </t>
  </si>
  <si>
    <t>PEKERJAAN KELENGKAPAN KONSTRUKSI</t>
  </si>
  <si>
    <t>CJ6-T</t>
  </si>
  <si>
    <t>CE1-2</t>
  </si>
  <si>
    <t>F1-2</t>
  </si>
  <si>
    <t>Wirosari,  Januari 2024</t>
  </si>
  <si>
    <t>KARYONO BAKSO</t>
  </si>
  <si>
    <t>K2-370/140</t>
  </si>
  <si>
    <t>PWI 7</t>
  </si>
  <si>
    <t>Daya 13.200 VA</t>
  </si>
  <si>
    <t>KOMPLEK PASAR KUWU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</si>
</sst>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</font>
    <font>
      <sz val="16"/>
      <color rgb="FFFF000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21" fillId="0" borderId="0"/>
    <xf numFmtId="0" fontId="176" fillId="0" borderId="0" applyNumberFormat="0" applyFill="0" applyBorder="0" applyAlignment="0" applyProtection="0"/>
  </cellStyleXfs>
  <cellXfs count="713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2" fillId="0" borderId="21" xfId="1653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167" fontId="141" fillId="40" borderId="85" xfId="2672" applyFont="1" applyFill="1" applyBorder="1" applyAlignment="1" applyProtection="1">
      <alignment horizontal="right" vertical="center" wrapText="1"/>
      <protection locked="0"/>
    </xf>
    <xf numFmtId="167" fontId="141" fillId="40" borderId="87" xfId="2672" applyFont="1" applyFill="1" applyBorder="1" applyAlignment="1" applyProtection="1">
      <alignment horizontal="right" vertical="center"/>
      <protection locked="0"/>
    </xf>
    <xf numFmtId="169" fontId="141" fillId="40" borderId="87" xfId="2672" applyNumberFormat="1" applyFont="1" applyFill="1" applyBorder="1" applyAlignment="1" applyProtection="1">
      <alignment horizontal="right" vertical="center"/>
      <protection locked="0"/>
    </xf>
    <xf numFmtId="169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167" fontId="0" fillId="45" borderId="3" xfId="1026" applyFont="1" applyFill="1" applyBorder="1" applyProtection="1">
      <protection locked="0"/>
    </xf>
    <xf numFmtId="0" fontId="10" fillId="0" borderId="21" xfId="1614" applyFont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41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9" fontId="145" fillId="46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120" fillId="0" borderId="99" xfId="1450" applyFont="1" applyBorder="1" applyAlignment="1">
      <alignment horizontal="center" vertical="center"/>
    </xf>
    <xf numFmtId="0" fontId="176" fillId="33" borderId="0" xfId="2678" applyFill="1"/>
    <xf numFmtId="0" fontId="44" fillId="0" borderId="21" xfId="1451" applyFont="1" applyFill="1" applyBorder="1" applyAlignment="1">
      <alignment horizontal="left" vertical="center" wrapText="1"/>
    </xf>
    <xf numFmtId="0" fontId="115" fillId="33" borderId="0" xfId="0" applyFont="1" applyFill="1" applyAlignment="1">
      <alignment vertical="center" wrapText="1"/>
    </xf>
    <xf numFmtId="0" fontId="115" fillId="33" borderId="37" xfId="0" applyFont="1" applyFill="1" applyBorder="1" applyAlignment="1">
      <alignment vertical="center" wrapText="1"/>
    </xf>
    <xf numFmtId="0" fontId="115" fillId="33" borderId="44" xfId="0" applyFont="1" applyFill="1" applyBorder="1" applyAlignment="1">
      <alignment vertical="center" wrapText="1"/>
    </xf>
    <xf numFmtId="0" fontId="115" fillId="33" borderId="45" xfId="0" applyFont="1" applyFill="1" applyBorder="1" applyAlignment="1">
      <alignment vertical="center" wrapText="1"/>
    </xf>
    <xf numFmtId="0" fontId="115" fillId="33" borderId="18" xfId="0" applyFont="1" applyFill="1" applyBorder="1" applyAlignment="1">
      <alignment vertical="center" wrapText="1"/>
    </xf>
    <xf numFmtId="0" fontId="115" fillId="33" borderId="43" xfId="0" applyFont="1" applyFill="1" applyBorder="1" applyAlignment="1">
      <alignment vertical="center" wrapText="1"/>
    </xf>
    <xf numFmtId="0" fontId="43" fillId="0" borderId="21" xfId="1615" applyNumberFormat="1" applyFont="1" applyFill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43" fillId="0" borderId="20" xfId="1615" applyFont="1" applyFill="1" applyBorder="1" applyAlignment="1">
      <alignment horizontal="center" vertical="center"/>
    </xf>
    <xf numFmtId="0" fontId="10" fillId="0" borderId="21" xfId="1614" applyFont="1" applyFill="1" applyBorder="1" applyAlignment="1">
      <alignment horizontal="center" vertical="center"/>
    </xf>
    <xf numFmtId="0" fontId="6" fillId="0" borderId="21" xfId="1652" applyFont="1" applyBorder="1" applyAlignment="1">
      <alignment horizontal="center" vertical="center"/>
    </xf>
    <xf numFmtId="0" fontId="114" fillId="0" borderId="20" xfId="1652" applyFont="1" applyFill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41" fontId="153" fillId="0" borderId="0" xfId="1614" applyNumberFormat="1" applyFont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77" fillId="33" borderId="0" xfId="0" quotePrefix="1" applyFont="1" applyFill="1" applyAlignment="1">
      <alignment horizontal="center"/>
    </xf>
    <xf numFmtId="0" fontId="44" fillId="0" borderId="21" xfId="1450" applyFont="1" applyFill="1" applyBorder="1" applyAlignment="1">
      <alignment vertical="center" wrapText="1"/>
    </xf>
    <xf numFmtId="14" fontId="96" fillId="0" borderId="0" xfId="1653" applyNumberFormat="1" applyFont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43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44" borderId="3" xfId="2673" applyNumberFormat="1" applyFont="1" applyFill="1" applyBorder="1" applyAlignment="1">
      <alignment horizontal="center" vertical="center" wrapText="1"/>
    </xf>
    <xf numFmtId="2" fontId="135" fillId="44" borderId="39" xfId="2673" applyNumberFormat="1" applyFont="1" applyFill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horizontal="center" vertical="center"/>
    </xf>
    <xf numFmtId="0" fontId="112" fillId="38" borderId="3" xfId="1538" applyFill="1" applyBorder="1" applyAlignment="1">
      <alignment horizontal="center" vertical="center" wrapText="1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167" fontId="154" fillId="0" borderId="0" xfId="1614" applyNumberFormat="1" applyFont="1" applyAlignment="1">
      <alignment horizontal="left" vertical="top" wrapText="1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8" fontId="120" fillId="0" borderId="73" xfId="1450" applyNumberFormat="1" applyFont="1" applyBorder="1" applyAlignment="1">
      <alignment horizontal="left" vertical="center"/>
    </xf>
    <xf numFmtId="208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49" fontId="115" fillId="33" borderId="50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92" fillId="33" borderId="61" xfId="0" applyFont="1" applyFill="1" applyBorder="1" applyAlignment="1">
      <alignment horizontal="left" vertical="center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115" fillId="33" borderId="64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18" xfId="0" applyFont="1" applyFill="1" applyBorder="1" applyAlignment="1">
      <alignment horizontal="center" vertical="center" wrapText="1"/>
    </xf>
    <xf numFmtId="0" fontId="115" fillId="33" borderId="0" xfId="0" applyFont="1" applyFill="1" applyBorder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2679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" xfId="2678" builtinId="8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0.61649461744068235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emf"/><Relationship Id="rId13" Type="http://schemas.openxmlformats.org/officeDocument/2006/relationships/image" Target="../media/image24.emf"/><Relationship Id="rId3" Type="http://schemas.openxmlformats.org/officeDocument/2006/relationships/image" Target="../media/image14.emf"/><Relationship Id="rId7" Type="http://schemas.openxmlformats.org/officeDocument/2006/relationships/image" Target="../media/image18.emf"/><Relationship Id="rId12" Type="http://schemas.openxmlformats.org/officeDocument/2006/relationships/image" Target="../media/image23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6" Type="http://schemas.openxmlformats.org/officeDocument/2006/relationships/image" Target="../media/image17.emf"/><Relationship Id="rId11" Type="http://schemas.openxmlformats.org/officeDocument/2006/relationships/image" Target="../media/image22.emf"/><Relationship Id="rId5" Type="http://schemas.openxmlformats.org/officeDocument/2006/relationships/image" Target="../media/image16.emf"/><Relationship Id="rId10" Type="http://schemas.openxmlformats.org/officeDocument/2006/relationships/image" Target="../media/image21.emf"/><Relationship Id="rId4" Type="http://schemas.openxmlformats.org/officeDocument/2006/relationships/image" Target="../media/image15.emf"/><Relationship Id="rId9" Type="http://schemas.openxmlformats.org/officeDocument/2006/relationships/image" Target="../media/image20.emf"/><Relationship Id="rId14" Type="http://schemas.openxmlformats.org/officeDocument/2006/relationships/image" Target="../media/image25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2477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5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176894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5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276280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698646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257734</xdr:colOff>
      <xdr:row>21</xdr:row>
      <xdr:rowOff>67236</xdr:rowOff>
    </xdr:from>
    <xdr:to>
      <xdr:col>18</xdr:col>
      <xdr:colOff>358587</xdr:colOff>
      <xdr:row>23</xdr:row>
      <xdr:rowOff>100853</xdr:rowOff>
    </xdr:to>
    <xdr:sp macro="" textlink="">
      <xdr:nvSpPr>
        <xdr:cNvPr id="2" name="Freeform 1"/>
        <xdr:cNvSpPr/>
      </xdr:nvSpPr>
      <xdr:spPr>
        <a:xfrm>
          <a:off x="4000499" y="3473824"/>
          <a:ext cx="2767853" cy="347382"/>
        </a:xfrm>
        <a:custGeom>
          <a:avLst/>
          <a:gdLst>
            <a:gd name="connsiteX0" fmla="*/ 0 w 2767853"/>
            <a:gd name="connsiteY0" fmla="*/ 145676 h 347382"/>
            <a:gd name="connsiteX1" fmla="*/ 1143000 w 2767853"/>
            <a:gd name="connsiteY1" fmla="*/ 0 h 347382"/>
            <a:gd name="connsiteX2" fmla="*/ 2767853 w 2767853"/>
            <a:gd name="connsiteY2" fmla="*/ 347382 h 3473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767853" h="347382">
              <a:moveTo>
                <a:pt x="0" y="145676"/>
              </a:moveTo>
              <a:lnTo>
                <a:pt x="1143000" y="0"/>
              </a:lnTo>
              <a:lnTo>
                <a:pt x="2767853" y="347382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145677</xdr:colOff>
      <xdr:row>18</xdr:row>
      <xdr:rowOff>33617</xdr:rowOff>
    </xdr:from>
    <xdr:to>
      <xdr:col>12</xdr:col>
      <xdr:colOff>145677</xdr:colOff>
      <xdr:row>27</xdr:row>
      <xdr:rowOff>22411</xdr:rowOff>
    </xdr:to>
    <xdr:cxnSp macro="">
      <xdr:nvCxnSpPr>
        <xdr:cNvPr id="449" name="Straight Connector 448"/>
        <xdr:cNvCxnSpPr/>
      </xdr:nvCxnSpPr>
      <xdr:spPr>
        <a:xfrm flipH="1">
          <a:off x="4269442" y="2969558"/>
          <a:ext cx="0" cy="140073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168088</xdr:colOff>
      <xdr:row>10</xdr:row>
      <xdr:rowOff>31828</xdr:rowOff>
    </xdr:from>
    <xdr:to>
      <xdr:col>11</xdr:col>
      <xdr:colOff>168088</xdr:colOff>
      <xdr:row>38</xdr:row>
      <xdr:rowOff>43033</xdr:rowOff>
    </xdr:to>
    <xdr:sp macro="" textlink="">
      <xdr:nvSpPr>
        <xdr:cNvPr id="104" name="Freeform 103"/>
        <xdr:cNvSpPr/>
      </xdr:nvSpPr>
      <xdr:spPr>
        <a:xfrm rot="16200000" flipH="1">
          <a:off x="1714500" y="3909063"/>
          <a:ext cx="4392705" cy="0"/>
        </a:xfrm>
        <a:custGeom>
          <a:avLst/>
          <a:gdLst>
            <a:gd name="connsiteX0" fmla="*/ 0 w 78441"/>
            <a:gd name="connsiteY0" fmla="*/ 0 h 4572000"/>
            <a:gd name="connsiteX1" fmla="*/ 78441 w 78441"/>
            <a:gd name="connsiteY1" fmla="*/ 4572000 h 457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8441" h="4572000">
              <a:moveTo>
                <a:pt x="0" y="0"/>
              </a:moveTo>
              <a:lnTo>
                <a:pt x="78441" y="4572000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157379</xdr:colOff>
      <xdr:row>27</xdr:row>
      <xdr:rowOff>117660</xdr:rowOff>
    </xdr:from>
    <xdr:to>
      <xdr:col>18</xdr:col>
      <xdr:colOff>280147</xdr:colOff>
      <xdr:row>30</xdr:row>
      <xdr:rowOff>33618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D06C4CAD-8DC7-400B-A071-691CFCE22186}"/>
            </a:ext>
          </a:extLst>
        </xdr:cNvPr>
        <xdr:cNvSpPr txBox="1"/>
      </xdr:nvSpPr>
      <xdr:spPr>
        <a:xfrm>
          <a:off x="5805144" y="4465542"/>
          <a:ext cx="884768" cy="3754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900">
              <a:solidFill>
                <a:srgbClr val="FF0000"/>
              </a:solidFill>
            </a:rPr>
            <a:t>KARYONO 13,2 KVA</a:t>
          </a:r>
        </a:p>
      </xdr:txBody>
    </xdr:sp>
    <xdr:clientData/>
  </xdr:twoCellAnchor>
  <xdr:twoCellAnchor>
    <xdr:from>
      <xdr:col>25</xdr:col>
      <xdr:colOff>377880</xdr:colOff>
      <xdr:row>5</xdr:row>
      <xdr:rowOff>11205</xdr:rowOff>
    </xdr:from>
    <xdr:to>
      <xdr:col>29</xdr:col>
      <xdr:colOff>302806</xdr:colOff>
      <xdr:row>19</xdr:row>
      <xdr:rowOff>13819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3272FCED-27AC-4666-B493-368E935D7FE8}"/>
            </a:ext>
          </a:extLst>
        </xdr:cNvPr>
        <xdr:cNvGrpSpPr/>
      </xdr:nvGrpSpPr>
      <xdr:grpSpPr>
        <a:xfrm>
          <a:off x="9488262" y="795617"/>
          <a:ext cx="1504956" cy="2311026"/>
          <a:chOff x="9713886" y="808452"/>
          <a:chExt cx="1342558" cy="1766630"/>
        </a:xfrm>
      </xdr:grpSpPr>
      <xdr:grpSp>
        <xdr:nvGrpSpPr>
          <xdr:cNvPr id="339" name="Group 13">
            <a:extLst>
              <a:ext uri="{FF2B5EF4-FFF2-40B4-BE49-F238E27FC236}">
                <a16:creationId xmlns:a16="http://schemas.microsoft.com/office/drawing/2014/main" id="{A0059BBC-E168-4487-ABCB-F2C36979501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98" name="Oval 1">
              <a:extLst>
                <a:ext uri="{FF2B5EF4-FFF2-40B4-BE49-F238E27FC236}">
                  <a16:creationId xmlns:a16="http://schemas.microsoft.com/office/drawing/2014/main" id="{EE2C7EA2-736A-4B0C-8CE9-D78B960BEE9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9" name="Straight Connector 3">
              <a:extLst>
                <a:ext uri="{FF2B5EF4-FFF2-40B4-BE49-F238E27FC236}">
                  <a16:creationId xmlns:a16="http://schemas.microsoft.com/office/drawing/2014/main" id="{F9DD5BB1-B664-43CD-A2DF-F9AC8EA3B169}"/>
                </a:ext>
              </a:extLst>
            </xdr:cNvPr>
            <xdr:cNvCxnSpPr>
              <a:stCxn id="355" idx="1"/>
              <a:endCxn id="35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0" name="Straight Connector 7">
              <a:extLst>
                <a:ext uri="{FF2B5EF4-FFF2-40B4-BE49-F238E27FC236}">
                  <a16:creationId xmlns:a16="http://schemas.microsoft.com/office/drawing/2014/main" id="{310D98A3-A077-48BD-9D71-F32C25DA0881}"/>
                </a:ext>
              </a:extLst>
            </xdr:cNvPr>
            <xdr:cNvCxnSpPr>
              <a:stCxn id="355" idx="3"/>
              <a:endCxn id="35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0" name="Oval 339">
            <a:extLst>
              <a:ext uri="{FF2B5EF4-FFF2-40B4-BE49-F238E27FC236}">
                <a16:creationId xmlns:a16="http://schemas.microsoft.com/office/drawing/2014/main" id="{B0631DF8-7DDC-40E5-93B3-C7A05F661C1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41" name="Group 340">
            <a:extLst>
              <a:ext uri="{FF2B5EF4-FFF2-40B4-BE49-F238E27FC236}">
                <a16:creationId xmlns:a16="http://schemas.microsoft.com/office/drawing/2014/main" id="{F221FAA8-24B8-49F6-8073-8C14EDBFBA9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95" name="Oval 394">
              <a:extLst>
                <a:ext uri="{FF2B5EF4-FFF2-40B4-BE49-F238E27FC236}">
                  <a16:creationId xmlns:a16="http://schemas.microsoft.com/office/drawing/2014/main" id="{008C3D79-3222-4BCC-A712-84D331EDD15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6" name="Straight Connector 395">
              <a:extLst>
                <a:ext uri="{FF2B5EF4-FFF2-40B4-BE49-F238E27FC236}">
                  <a16:creationId xmlns:a16="http://schemas.microsoft.com/office/drawing/2014/main" id="{4F57EC5B-A8B2-4683-8087-938FA0247EA4}"/>
                </a:ext>
              </a:extLst>
            </xdr:cNvPr>
            <xdr:cNvCxnSpPr>
              <a:stCxn id="395" idx="1"/>
              <a:endCxn id="39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7" name="Straight Connector 396">
              <a:extLst>
                <a:ext uri="{FF2B5EF4-FFF2-40B4-BE49-F238E27FC236}">
                  <a16:creationId xmlns:a16="http://schemas.microsoft.com/office/drawing/2014/main" id="{D6651655-D6B1-49C9-8CC1-8942D2467267}"/>
                </a:ext>
              </a:extLst>
            </xdr:cNvPr>
            <xdr:cNvCxnSpPr>
              <a:stCxn id="395" idx="3"/>
              <a:endCxn id="39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2" name="Oval 341">
            <a:extLst>
              <a:ext uri="{FF2B5EF4-FFF2-40B4-BE49-F238E27FC236}">
                <a16:creationId xmlns:a16="http://schemas.microsoft.com/office/drawing/2014/main" id="{E18DEDF3-0006-4F74-9AFC-B7EA8937096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3" name="Straight Connector 342">
            <a:extLst>
              <a:ext uri="{FF2B5EF4-FFF2-40B4-BE49-F238E27FC236}">
                <a16:creationId xmlns:a16="http://schemas.microsoft.com/office/drawing/2014/main" id="{2C2C62A0-A880-48E4-B25A-447657578BDC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EBD1BF7F-1418-43C3-9EFF-89A9A7204DF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4E2637C5-E075-4737-B973-F39E412BB72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0076E6E7-E71B-419E-A93A-DD139456B10A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E1BF1193-D79A-45D6-9074-FA1C5CC3FFC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8" name="Straight Connector 347">
            <a:extLst>
              <a:ext uri="{FF2B5EF4-FFF2-40B4-BE49-F238E27FC236}">
                <a16:creationId xmlns:a16="http://schemas.microsoft.com/office/drawing/2014/main" id="{4BB021E1-8B0D-4D8B-B2A7-9C2CD3625A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7D9E4838-0E93-44B5-ACA8-DECA4250143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F96A8F58-456E-4AA5-86BF-3D1EF065A123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87279DA1-A869-45D3-A7E1-885675B40EA8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Straight Connector 351">
            <a:extLst>
              <a:ext uri="{FF2B5EF4-FFF2-40B4-BE49-F238E27FC236}">
                <a16:creationId xmlns:a16="http://schemas.microsoft.com/office/drawing/2014/main" id="{B35D657E-AC79-4E25-93B0-EDFF48F54BD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FC2CF546-D08D-45EF-98B9-F5D1660E4A1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D623DA68-6CAB-43D3-A8A4-CE459A04AD9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5" name="Straight Connector 50">
            <a:extLst>
              <a:ext uri="{FF2B5EF4-FFF2-40B4-BE49-F238E27FC236}">
                <a16:creationId xmlns:a16="http://schemas.microsoft.com/office/drawing/2014/main" id="{A37D3E54-E71C-4AE2-B09B-9E1B0F118C8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Straight Connector 355">
            <a:extLst>
              <a:ext uri="{FF2B5EF4-FFF2-40B4-BE49-F238E27FC236}">
                <a16:creationId xmlns:a16="http://schemas.microsoft.com/office/drawing/2014/main" id="{D9124D4C-9445-47C6-8B83-EA6960C6C8A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7" name="Straight Connector 52">
            <a:extLst>
              <a:ext uri="{FF2B5EF4-FFF2-40B4-BE49-F238E27FC236}">
                <a16:creationId xmlns:a16="http://schemas.microsoft.com/office/drawing/2014/main" id="{5F4CF603-728D-489A-8737-2D61FBDC67E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F9D4E4D7-D856-469D-8E67-6B6BD60CAE0D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Connector 358">
            <a:extLst>
              <a:ext uri="{FF2B5EF4-FFF2-40B4-BE49-F238E27FC236}">
                <a16:creationId xmlns:a16="http://schemas.microsoft.com/office/drawing/2014/main" id="{E8D5E050-6E4E-41D9-9ADA-1995EE864A2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C634EF6E-3FD6-4142-B474-9E9047757181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ECD67FCE-9647-411D-858A-46847461325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3EF1BFD8-8D77-4962-B838-FDC261702834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F07231D3-3E45-42E6-8632-401AAC684461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91C81B03-E8BA-4603-89F7-79A616328C7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5" name="Isosceles Triangle 364">
            <a:extLst>
              <a:ext uri="{FF2B5EF4-FFF2-40B4-BE49-F238E27FC236}">
                <a16:creationId xmlns:a16="http://schemas.microsoft.com/office/drawing/2014/main" id="{9FF02A70-B079-4396-A685-0C5272356EE5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66" name="Isosceles Triangle 365">
            <a:extLst>
              <a:ext uri="{FF2B5EF4-FFF2-40B4-BE49-F238E27FC236}">
                <a16:creationId xmlns:a16="http://schemas.microsoft.com/office/drawing/2014/main" id="{C31B0938-312E-4AC4-8FBD-581B448C8B08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7" name="Group 73">
            <a:extLst>
              <a:ext uri="{FF2B5EF4-FFF2-40B4-BE49-F238E27FC236}">
                <a16:creationId xmlns:a16="http://schemas.microsoft.com/office/drawing/2014/main" id="{6D3A4BE7-280D-4003-887E-980F1807F4BD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393" name="TextBox 392">
              <a:extLst>
                <a:ext uri="{FF2B5EF4-FFF2-40B4-BE49-F238E27FC236}">
                  <a16:creationId xmlns:a16="http://schemas.microsoft.com/office/drawing/2014/main" id="{AC08712B-8469-4FC0-9403-6F89E2DA0AA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94" name="Straight Connector 393">
              <a:extLst>
                <a:ext uri="{FF2B5EF4-FFF2-40B4-BE49-F238E27FC236}">
                  <a16:creationId xmlns:a16="http://schemas.microsoft.com/office/drawing/2014/main" id="{CF8F09C6-4AE6-4AD9-80BC-6C1F1A3E7FA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8" name="Group 74">
            <a:extLst>
              <a:ext uri="{FF2B5EF4-FFF2-40B4-BE49-F238E27FC236}">
                <a16:creationId xmlns:a16="http://schemas.microsoft.com/office/drawing/2014/main" id="{E1B3F5F2-C8A4-46D8-B223-210302816F9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91" name="TextBox 390">
              <a:extLst>
                <a:ext uri="{FF2B5EF4-FFF2-40B4-BE49-F238E27FC236}">
                  <a16:creationId xmlns:a16="http://schemas.microsoft.com/office/drawing/2014/main" id="{98608E58-5F68-4842-948A-BB4B2B175C4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92" name="Straight Connector 391">
              <a:extLst>
                <a:ext uri="{FF2B5EF4-FFF2-40B4-BE49-F238E27FC236}">
                  <a16:creationId xmlns:a16="http://schemas.microsoft.com/office/drawing/2014/main" id="{24CB6642-F85E-453E-94B6-0F23B4CA4E42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9" name="Group 89">
            <a:extLst>
              <a:ext uri="{FF2B5EF4-FFF2-40B4-BE49-F238E27FC236}">
                <a16:creationId xmlns:a16="http://schemas.microsoft.com/office/drawing/2014/main" id="{49D9216F-9CFD-4216-9200-5B00D24E26A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7" name="Straight Connector 386">
              <a:extLst>
                <a:ext uri="{FF2B5EF4-FFF2-40B4-BE49-F238E27FC236}">
                  <a16:creationId xmlns:a16="http://schemas.microsoft.com/office/drawing/2014/main" id="{65D87665-C2CB-4A4A-BF62-B6E55DEC736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8" name="Straight Connector 79">
              <a:extLst>
                <a:ext uri="{FF2B5EF4-FFF2-40B4-BE49-F238E27FC236}">
                  <a16:creationId xmlns:a16="http://schemas.microsoft.com/office/drawing/2014/main" id="{3078B31A-D4B2-44B4-9865-FA74DB010D2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80">
              <a:extLst>
                <a:ext uri="{FF2B5EF4-FFF2-40B4-BE49-F238E27FC236}">
                  <a16:creationId xmlns:a16="http://schemas.microsoft.com/office/drawing/2014/main" id="{0E80E68C-144D-4936-B91B-4EB1EC2BE64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0" name="Straight Connector 88">
              <a:extLst>
                <a:ext uri="{FF2B5EF4-FFF2-40B4-BE49-F238E27FC236}">
                  <a16:creationId xmlns:a16="http://schemas.microsoft.com/office/drawing/2014/main" id="{52AAB6B2-674B-4C85-843D-AD2AE1F80CD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0" name="Group 90">
            <a:extLst>
              <a:ext uri="{FF2B5EF4-FFF2-40B4-BE49-F238E27FC236}">
                <a16:creationId xmlns:a16="http://schemas.microsoft.com/office/drawing/2014/main" id="{28C5169D-ED59-4EAF-9312-EF41B72AF23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3" name="Straight Connector 382">
              <a:extLst>
                <a:ext uri="{FF2B5EF4-FFF2-40B4-BE49-F238E27FC236}">
                  <a16:creationId xmlns:a16="http://schemas.microsoft.com/office/drawing/2014/main" id="{5B5D57D4-E5C1-4B5A-A69A-462BFF6772B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4" name="Straight Connector 383">
              <a:extLst>
                <a:ext uri="{FF2B5EF4-FFF2-40B4-BE49-F238E27FC236}">
                  <a16:creationId xmlns:a16="http://schemas.microsoft.com/office/drawing/2014/main" id="{A6A01F44-C661-4A6D-9B2A-30D5A35E07E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5" name="Straight Connector 384">
              <a:extLst>
                <a:ext uri="{FF2B5EF4-FFF2-40B4-BE49-F238E27FC236}">
                  <a16:creationId xmlns:a16="http://schemas.microsoft.com/office/drawing/2014/main" id="{ECD6A8F1-D405-4776-AFAF-09BE0BA3AA9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Straight Connector 385">
              <a:extLst>
                <a:ext uri="{FF2B5EF4-FFF2-40B4-BE49-F238E27FC236}">
                  <a16:creationId xmlns:a16="http://schemas.microsoft.com/office/drawing/2014/main" id="{1CC380E4-E8E2-4AFA-9C75-421DAF64CB2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71" name="Straight Connector 370">
            <a:extLst>
              <a:ext uri="{FF2B5EF4-FFF2-40B4-BE49-F238E27FC236}">
                <a16:creationId xmlns:a16="http://schemas.microsoft.com/office/drawing/2014/main" id="{34BD92AF-799D-4B62-B4CF-0F866B1989D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Straight Connector 371">
            <a:extLst>
              <a:ext uri="{FF2B5EF4-FFF2-40B4-BE49-F238E27FC236}">
                <a16:creationId xmlns:a16="http://schemas.microsoft.com/office/drawing/2014/main" id="{E7FE6E38-2112-4FFE-9CE5-D7A923CD472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Straight Arrow Connector 372">
            <a:extLst>
              <a:ext uri="{FF2B5EF4-FFF2-40B4-BE49-F238E27FC236}">
                <a16:creationId xmlns:a16="http://schemas.microsoft.com/office/drawing/2014/main" id="{7C1CBD05-F5A5-453F-8720-D422730BD46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Arrow Connector 373">
            <a:extLst>
              <a:ext uri="{FF2B5EF4-FFF2-40B4-BE49-F238E27FC236}">
                <a16:creationId xmlns:a16="http://schemas.microsoft.com/office/drawing/2014/main" id="{29B95EA8-4C80-4365-81F2-A45DD0C8019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5" name="Group 155">
            <a:extLst>
              <a:ext uri="{FF2B5EF4-FFF2-40B4-BE49-F238E27FC236}">
                <a16:creationId xmlns:a16="http://schemas.microsoft.com/office/drawing/2014/main" id="{6A83EADA-EDC3-4872-86B2-539ACFB54D13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380" name="Isosceles Triangle 379">
              <a:extLst>
                <a:ext uri="{FF2B5EF4-FFF2-40B4-BE49-F238E27FC236}">
                  <a16:creationId xmlns:a16="http://schemas.microsoft.com/office/drawing/2014/main" id="{528817BD-B203-453A-B7B9-562EE88671B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1" name="Isosceles Triangle 380">
              <a:extLst>
                <a:ext uri="{FF2B5EF4-FFF2-40B4-BE49-F238E27FC236}">
                  <a16:creationId xmlns:a16="http://schemas.microsoft.com/office/drawing/2014/main" id="{92184D22-5DB8-41B4-A0F8-26D741AB8135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2" name="Isosceles Triangle 381">
              <a:extLst>
                <a:ext uri="{FF2B5EF4-FFF2-40B4-BE49-F238E27FC236}">
                  <a16:creationId xmlns:a16="http://schemas.microsoft.com/office/drawing/2014/main" id="{F2A6AE2C-2F5B-4CA1-9FBE-764261485F79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76" name="Group 134">
            <a:extLst>
              <a:ext uri="{FF2B5EF4-FFF2-40B4-BE49-F238E27FC236}">
                <a16:creationId xmlns:a16="http://schemas.microsoft.com/office/drawing/2014/main" id="{A868FBC8-B2A3-488E-AF24-23545CA3CA5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377" name="Isosceles Triangle 376">
              <a:extLst>
                <a:ext uri="{FF2B5EF4-FFF2-40B4-BE49-F238E27FC236}">
                  <a16:creationId xmlns:a16="http://schemas.microsoft.com/office/drawing/2014/main" id="{46F851E5-AE7D-422A-BD62-FE47FEFA5BE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8" name="Isosceles Triangle 377">
              <a:extLst>
                <a:ext uri="{FF2B5EF4-FFF2-40B4-BE49-F238E27FC236}">
                  <a16:creationId xmlns:a16="http://schemas.microsoft.com/office/drawing/2014/main" id="{59ECA33C-C0C7-4289-8D28-BD84BC15E278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9" name="Isosceles Triangle 378">
              <a:extLst>
                <a:ext uri="{FF2B5EF4-FFF2-40B4-BE49-F238E27FC236}">
                  <a16:creationId xmlns:a16="http://schemas.microsoft.com/office/drawing/2014/main" id="{2DA64D0B-E1DC-47CF-8B04-340B63D6796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196104</xdr:colOff>
      <xdr:row>18</xdr:row>
      <xdr:rowOff>67271</xdr:rowOff>
    </xdr:from>
    <xdr:to>
      <xdr:col>27</xdr:col>
      <xdr:colOff>8454</xdr:colOff>
      <xdr:row>19</xdr:row>
      <xdr:rowOff>142188</xdr:rowOff>
    </xdr:to>
    <xdr:grpSp>
      <xdr:nvGrpSpPr>
        <xdr:cNvPr id="401" name="Group 400">
          <a:extLst>
            <a:ext uri="{FF2B5EF4-FFF2-40B4-BE49-F238E27FC236}">
              <a16:creationId xmlns:a16="http://schemas.microsoft.com/office/drawing/2014/main" id="{6A9C061F-BAF8-40E3-A7B7-F32944E96D9A}"/>
            </a:ext>
          </a:extLst>
        </xdr:cNvPr>
        <xdr:cNvGrpSpPr/>
      </xdr:nvGrpSpPr>
      <xdr:grpSpPr>
        <a:xfrm>
          <a:off x="9687486" y="3003212"/>
          <a:ext cx="249380" cy="231800"/>
          <a:chOff x="11040342" y="3026321"/>
          <a:chExt cx="251113" cy="183360"/>
        </a:xfrm>
      </xdr:grpSpPr>
      <xdr:sp macro="" textlink="">
        <xdr:nvSpPr>
          <xdr:cNvPr id="402" name="Freeform 198">
            <a:extLst>
              <a:ext uri="{FF2B5EF4-FFF2-40B4-BE49-F238E27FC236}">
                <a16:creationId xmlns:a16="http://schemas.microsoft.com/office/drawing/2014/main" id="{76DA0981-41FC-41A2-9C3A-814043EFC686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3" name="Straight Connector 88">
            <a:extLst>
              <a:ext uri="{FF2B5EF4-FFF2-40B4-BE49-F238E27FC236}">
                <a16:creationId xmlns:a16="http://schemas.microsoft.com/office/drawing/2014/main" id="{5C49DBAA-0FCA-4992-976B-3A1C2BD352BC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160090</xdr:colOff>
      <xdr:row>18</xdr:row>
      <xdr:rowOff>16437</xdr:rowOff>
    </xdr:from>
    <xdr:to>
      <xdr:col>29</xdr:col>
      <xdr:colOff>30203</xdr:colOff>
      <xdr:row>19</xdr:row>
      <xdr:rowOff>91354</xdr:rowOff>
    </xdr:to>
    <xdr:grpSp>
      <xdr:nvGrpSpPr>
        <xdr:cNvPr id="404" name="Group 403">
          <a:extLst>
            <a:ext uri="{FF2B5EF4-FFF2-40B4-BE49-F238E27FC236}">
              <a16:creationId xmlns:a16="http://schemas.microsoft.com/office/drawing/2014/main" id="{AAEA0AA3-C350-4668-9361-594DF9C5A7FA}"/>
            </a:ext>
          </a:extLst>
        </xdr:cNvPr>
        <xdr:cNvGrpSpPr/>
      </xdr:nvGrpSpPr>
      <xdr:grpSpPr>
        <a:xfrm>
          <a:off x="10469502" y="2952378"/>
          <a:ext cx="251113" cy="231800"/>
          <a:chOff x="11040342" y="3026321"/>
          <a:chExt cx="251113" cy="183360"/>
        </a:xfrm>
      </xdr:grpSpPr>
      <xdr:sp macro="" textlink="">
        <xdr:nvSpPr>
          <xdr:cNvPr id="405" name="Freeform 201">
            <a:extLst>
              <a:ext uri="{FF2B5EF4-FFF2-40B4-BE49-F238E27FC236}">
                <a16:creationId xmlns:a16="http://schemas.microsoft.com/office/drawing/2014/main" id="{40355B87-24C1-41B0-BD2C-8D1B577CDBEC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6" name="Straight Connector 88">
            <a:extLst>
              <a:ext uri="{FF2B5EF4-FFF2-40B4-BE49-F238E27FC236}">
                <a16:creationId xmlns:a16="http://schemas.microsoft.com/office/drawing/2014/main" id="{60303581-CE23-44FB-8B70-C2CEBD5F138D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256569</xdr:colOff>
      <xdr:row>22</xdr:row>
      <xdr:rowOff>132629</xdr:rowOff>
    </xdr:from>
    <xdr:to>
      <xdr:col>15</xdr:col>
      <xdr:colOff>27969</xdr:colOff>
      <xdr:row>23</xdr:row>
      <xdr:rowOff>113699</xdr:rowOff>
    </xdr:to>
    <xdr:grpSp>
      <xdr:nvGrpSpPr>
        <xdr:cNvPr id="412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5142334" y="3696100"/>
          <a:ext cx="152400" cy="137952"/>
          <a:chOff x="3725636" y="1945820"/>
          <a:chExt cx="153760" cy="144237"/>
        </a:xfrm>
        <a:noFill/>
      </xdr:grpSpPr>
      <xdr:sp macro="" textlink="">
        <xdr:nvSpPr>
          <xdr:cNvPr id="413" name="Oval 412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414" name="Straight Connector 413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413" idx="1"/>
            <a:endCxn id="41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5" name="Straight Connector 414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413" idx="3"/>
            <a:endCxn id="41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324971</xdr:colOff>
      <xdr:row>25</xdr:row>
      <xdr:rowOff>151842</xdr:rowOff>
    </xdr:from>
    <xdr:to>
      <xdr:col>20</xdr:col>
      <xdr:colOff>369795</xdr:colOff>
      <xdr:row>31</xdr:row>
      <xdr:rowOff>44823</xdr:rowOff>
    </xdr:to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6734736" y="4185960"/>
          <a:ext cx="806824" cy="8230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K2-141C/2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CJ6T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CE1-2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F1-2</a:t>
          </a:r>
        </a:p>
        <a:p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140028</xdr:colOff>
      <xdr:row>23</xdr:row>
      <xdr:rowOff>105736</xdr:rowOff>
    </xdr:from>
    <xdr:to>
      <xdr:col>12</xdr:col>
      <xdr:colOff>292428</xdr:colOff>
      <xdr:row>24</xdr:row>
      <xdr:rowOff>86806</xdr:rowOff>
    </xdr:to>
    <xdr:grpSp>
      <xdr:nvGrpSpPr>
        <xdr:cNvPr id="106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4263793" y="3826089"/>
          <a:ext cx="152400" cy="137952"/>
          <a:chOff x="3725636" y="1945820"/>
          <a:chExt cx="153760" cy="144237"/>
        </a:xfrm>
        <a:noFill/>
      </xdr:grpSpPr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07" idx="1"/>
            <a:endCxn id="10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07" idx="3"/>
            <a:endCxn id="10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357228</xdr:colOff>
      <xdr:row>26</xdr:row>
      <xdr:rowOff>35329</xdr:rowOff>
    </xdr:from>
    <xdr:to>
      <xdr:col>17</xdr:col>
      <xdr:colOff>96544</xdr:colOff>
      <xdr:row>26</xdr:row>
      <xdr:rowOff>144043</xdr:rowOff>
    </xdr:to>
    <xdr:grpSp>
      <xdr:nvGrpSpPr>
        <xdr:cNvPr id="143" name="Group 142"/>
        <xdr:cNvGrpSpPr/>
      </xdr:nvGrpSpPr>
      <xdr:grpSpPr>
        <a:xfrm>
          <a:off x="6004993" y="4226329"/>
          <a:ext cx="120316" cy="108714"/>
          <a:chOff x="4552393" y="5147729"/>
          <a:chExt cx="228791" cy="193248"/>
        </a:xfrm>
      </xdr:grpSpPr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270110</xdr:colOff>
      <xdr:row>23</xdr:row>
      <xdr:rowOff>44723</xdr:rowOff>
    </xdr:from>
    <xdr:to>
      <xdr:col>14</xdr:col>
      <xdr:colOff>256569</xdr:colOff>
      <xdr:row>23</xdr:row>
      <xdr:rowOff>125939</xdr:rowOff>
    </xdr:to>
    <xdr:cxnSp macro="">
      <xdr:nvCxnSpPr>
        <xdr:cNvPr id="149" name="Straight Connector 148"/>
        <xdr:cNvCxnSpPr>
          <a:stCxn id="107" idx="7"/>
          <a:endCxn id="413" idx="2"/>
        </xdr:cNvCxnSpPr>
      </xdr:nvCxnSpPr>
      <xdr:spPr>
        <a:xfrm flipV="1">
          <a:off x="4393875" y="3765076"/>
          <a:ext cx="748459" cy="8121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347382</xdr:colOff>
      <xdr:row>23</xdr:row>
      <xdr:rowOff>11206</xdr:rowOff>
    </xdr:from>
    <xdr:to>
      <xdr:col>14</xdr:col>
      <xdr:colOff>86698</xdr:colOff>
      <xdr:row>23</xdr:row>
      <xdr:rowOff>119920</xdr:rowOff>
    </xdr:to>
    <xdr:grpSp>
      <xdr:nvGrpSpPr>
        <xdr:cNvPr id="150" name="Group 149"/>
        <xdr:cNvGrpSpPr/>
      </xdr:nvGrpSpPr>
      <xdr:grpSpPr>
        <a:xfrm>
          <a:off x="4852147" y="3731559"/>
          <a:ext cx="120316" cy="108714"/>
          <a:chOff x="4552393" y="5147729"/>
          <a:chExt cx="228791" cy="193248"/>
        </a:xfrm>
      </xdr:grpSpPr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54717</xdr:colOff>
      <xdr:row>25</xdr:row>
      <xdr:rowOff>58273</xdr:rowOff>
    </xdr:from>
    <xdr:to>
      <xdr:col>17</xdr:col>
      <xdr:colOff>78441</xdr:colOff>
      <xdr:row>27</xdr:row>
      <xdr:rowOff>134471</xdr:rowOff>
    </xdr:to>
    <xdr:cxnSp macro="">
      <xdr:nvCxnSpPr>
        <xdr:cNvPr id="160" name="Straight Connector 159"/>
        <xdr:cNvCxnSpPr/>
      </xdr:nvCxnSpPr>
      <xdr:spPr>
        <a:xfrm flipH="1" flipV="1">
          <a:off x="6083482" y="4092391"/>
          <a:ext cx="23724" cy="38996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23</xdr:row>
      <xdr:rowOff>147358</xdr:rowOff>
    </xdr:from>
    <xdr:to>
      <xdr:col>10</xdr:col>
      <xdr:colOff>302557</xdr:colOff>
      <xdr:row>28</xdr:row>
      <xdr:rowOff>11205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2752165" y="3867711"/>
          <a:ext cx="912157" cy="6482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K2-370/141C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CJ6T</a:t>
          </a:r>
        </a:p>
        <a:p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352939</xdr:colOff>
      <xdr:row>24</xdr:row>
      <xdr:rowOff>83325</xdr:rowOff>
    </xdr:from>
    <xdr:to>
      <xdr:col>17</xdr:col>
      <xdr:colOff>124339</xdr:colOff>
      <xdr:row>25</xdr:row>
      <xdr:rowOff>64394</xdr:rowOff>
    </xdr:to>
    <xdr:grpSp>
      <xdr:nvGrpSpPr>
        <xdr:cNvPr id="102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6000704" y="3960560"/>
          <a:ext cx="152400" cy="137952"/>
          <a:chOff x="3725636" y="1945820"/>
          <a:chExt cx="153760" cy="144237"/>
        </a:xfrm>
        <a:noFill/>
      </xdr:grpSpPr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03" idx="1"/>
            <a:endCxn id="10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03" idx="3"/>
            <a:endCxn id="10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61586</xdr:colOff>
      <xdr:row>24</xdr:row>
      <xdr:rowOff>152299</xdr:rowOff>
    </xdr:from>
    <xdr:to>
      <xdr:col>17</xdr:col>
      <xdr:colOff>313765</xdr:colOff>
      <xdr:row>25</xdr:row>
      <xdr:rowOff>78440</xdr:rowOff>
    </xdr:to>
    <xdr:cxnSp macro="">
      <xdr:nvCxnSpPr>
        <xdr:cNvPr id="113" name="Straight Arrow Connector 112"/>
        <xdr:cNvCxnSpPr/>
      </xdr:nvCxnSpPr>
      <xdr:spPr>
        <a:xfrm>
          <a:off x="6090351" y="4029534"/>
          <a:ext cx="252179" cy="830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11206</xdr:colOff>
      <xdr:row>23</xdr:row>
      <xdr:rowOff>33618</xdr:rowOff>
    </xdr:from>
    <xdr:to>
      <xdr:col>16</xdr:col>
      <xdr:colOff>352939</xdr:colOff>
      <xdr:row>24</xdr:row>
      <xdr:rowOff>152301</xdr:rowOff>
    </xdr:to>
    <xdr:cxnSp macro="">
      <xdr:nvCxnSpPr>
        <xdr:cNvPr id="114" name="Straight Connector 113"/>
        <xdr:cNvCxnSpPr>
          <a:endCxn id="103" idx="2"/>
        </xdr:cNvCxnSpPr>
      </xdr:nvCxnSpPr>
      <xdr:spPr>
        <a:xfrm>
          <a:off x="5277971" y="3753971"/>
          <a:ext cx="722733" cy="27556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365311</xdr:colOff>
      <xdr:row>23</xdr:row>
      <xdr:rowOff>152400</xdr:rowOff>
    </xdr:from>
    <xdr:to>
      <xdr:col>16</xdr:col>
      <xdr:colOff>104627</xdr:colOff>
      <xdr:row>24</xdr:row>
      <xdr:rowOff>104232</xdr:rowOff>
    </xdr:to>
    <xdr:grpSp>
      <xdr:nvGrpSpPr>
        <xdr:cNvPr id="115" name="Group 114"/>
        <xdr:cNvGrpSpPr/>
      </xdr:nvGrpSpPr>
      <xdr:grpSpPr>
        <a:xfrm>
          <a:off x="5632076" y="3872753"/>
          <a:ext cx="120316" cy="108714"/>
          <a:chOff x="4552393" y="5147729"/>
          <a:chExt cx="228791" cy="193248"/>
        </a:xfrm>
      </xdr:grpSpPr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291353</xdr:colOff>
      <xdr:row>18</xdr:row>
      <xdr:rowOff>56030</xdr:rowOff>
    </xdr:from>
    <xdr:to>
      <xdr:col>12</xdr:col>
      <xdr:colOff>291353</xdr:colOff>
      <xdr:row>27</xdr:row>
      <xdr:rowOff>0</xdr:rowOff>
    </xdr:to>
    <xdr:cxnSp macro="">
      <xdr:nvCxnSpPr>
        <xdr:cNvPr id="121" name="Straight Connector 120"/>
        <xdr:cNvCxnSpPr/>
      </xdr:nvCxnSpPr>
      <xdr:spPr>
        <a:xfrm flipH="1" flipV="1">
          <a:off x="4415118" y="2991971"/>
          <a:ext cx="0" cy="135591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237565</xdr:colOff>
      <xdr:row>21</xdr:row>
      <xdr:rowOff>103094</xdr:rowOff>
    </xdr:from>
    <xdr:to>
      <xdr:col>12</xdr:col>
      <xdr:colOff>357881</xdr:colOff>
      <xdr:row>22</xdr:row>
      <xdr:rowOff>54925</xdr:rowOff>
    </xdr:to>
    <xdr:grpSp>
      <xdr:nvGrpSpPr>
        <xdr:cNvPr id="125" name="Group 124"/>
        <xdr:cNvGrpSpPr/>
      </xdr:nvGrpSpPr>
      <xdr:grpSpPr>
        <a:xfrm>
          <a:off x="4361330" y="3509682"/>
          <a:ext cx="120316" cy="108714"/>
          <a:chOff x="4552393" y="5147729"/>
          <a:chExt cx="228791" cy="193248"/>
        </a:xfrm>
      </xdr:grpSpPr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210671</xdr:colOff>
      <xdr:row>25</xdr:row>
      <xdr:rowOff>42581</xdr:rowOff>
    </xdr:from>
    <xdr:to>
      <xdr:col>12</xdr:col>
      <xdr:colOff>330987</xdr:colOff>
      <xdr:row>25</xdr:row>
      <xdr:rowOff>151295</xdr:rowOff>
    </xdr:to>
    <xdr:grpSp>
      <xdr:nvGrpSpPr>
        <xdr:cNvPr id="130" name="Group 129"/>
        <xdr:cNvGrpSpPr/>
      </xdr:nvGrpSpPr>
      <xdr:grpSpPr>
        <a:xfrm>
          <a:off x="4334436" y="4076699"/>
          <a:ext cx="120316" cy="108714"/>
          <a:chOff x="4552393" y="5147729"/>
          <a:chExt cx="228791" cy="193248"/>
        </a:xfrm>
      </xdr:grpSpPr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264460</xdr:colOff>
      <xdr:row>16</xdr:row>
      <xdr:rowOff>24095</xdr:rowOff>
    </xdr:from>
    <xdr:to>
      <xdr:col>15</xdr:col>
      <xdr:colOff>309284</xdr:colOff>
      <xdr:row>19</xdr:row>
      <xdr:rowOff>123264</xdr:rowOff>
    </xdr:to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4769225" y="2646271"/>
          <a:ext cx="806824" cy="5698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K2-141C/1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2 CJ6T</a:t>
          </a:r>
        </a:p>
        <a:p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F3" sqref="F3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9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5" t="s">
        <v>1134</v>
      </c>
      <c r="C4" s="525"/>
      <c r="D4" s="525"/>
      <c r="E4" s="525"/>
      <c r="F4" s="525"/>
      <c r="G4" s="525"/>
      <c r="H4" s="52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510">
        <v>44995</v>
      </c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6" t="s">
        <v>0</v>
      </c>
      <c r="C7" s="526" t="s">
        <v>1</v>
      </c>
      <c r="D7" s="527" t="s">
        <v>42</v>
      </c>
      <c r="E7" s="527" t="s">
        <v>43</v>
      </c>
      <c r="F7" s="527" t="s">
        <v>1135</v>
      </c>
      <c r="G7" s="528" t="s">
        <v>41</v>
      </c>
      <c r="H7" s="524" t="s">
        <v>1042</v>
      </c>
      <c r="I7" s="524" t="s">
        <v>1137</v>
      </c>
      <c r="J7" s="524" t="s">
        <v>1026</v>
      </c>
      <c r="K7" s="518" t="s">
        <v>1024</v>
      </c>
      <c r="L7" s="519"/>
    </row>
    <row r="8" spans="1:12" ht="15" customHeight="1">
      <c r="B8" s="526"/>
      <c r="C8" s="526"/>
      <c r="D8" s="527"/>
      <c r="E8" s="527"/>
      <c r="F8" s="527"/>
      <c r="G8" s="528"/>
      <c r="H8" s="524"/>
      <c r="I8" s="524"/>
      <c r="J8" s="524"/>
      <c r="K8" s="520"/>
      <c r="L8" s="521"/>
    </row>
    <row r="9" spans="1:12" ht="15" customHeight="1">
      <c r="B9" s="526"/>
      <c r="C9" s="526"/>
      <c r="D9" s="527"/>
      <c r="E9" s="527"/>
      <c r="F9" s="527"/>
      <c r="G9" s="528"/>
      <c r="H9" s="524"/>
      <c r="I9" s="524"/>
      <c r="J9" s="524"/>
      <c r="K9" s="522"/>
      <c r="L9" s="52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13.2 kVA MCCB 20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3x70+1x70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110</v>
      </c>
      <c r="G14" s="41">
        <f ca="1">IF(ISERROR(OFFSET('HARGA SATUAN'!$I$6,MATCH(C14,'HARGA SATUAN'!$C$7:$C$1492,0),0)),"",OFFSET('HARGA SATUAN'!$I$6,MATCH(C14,'HARGA SATUAN'!$C$7:$C$1492,0),0))</f>
        <v>54500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4 x 16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35</v>
      </c>
      <c r="G15" s="41">
        <f ca="1">IF(ISERROR(OFFSET('HARGA SATUAN'!$I$6,MATCH(C15,'HARGA SATUAN'!$C$7:$C$1492,0),0)),"",OFFSET('HARGA SATUAN'!$I$6,MATCH(C15,'HARGA SATUAN'!$C$7:$C$1492,0),0))</f>
        <v>13500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SUMIFS(RAB!$F$14:$F$52,RAB!$C$14:$C$52,C714)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SUMIFS(RAB!$F$14:$F$52,RAB!$C$14:$C$52,C715)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SUMIFS(RAB!$F$14:$F$52,RAB!$C$14:$C$52,C716)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SUMIFS(RAB!$F$14:$F$52,RAB!$C$14:$C$52,C717)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SUMIFS(RAB!$F$14:$F$52,RAB!$C$14:$C$52,C718)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SUMIFS(RAB!$F$14:$F$52,RAB!$C$14:$C$52,C719)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SUMIFS(RAB!$F$14:$F$52,RAB!$C$14:$C$52,C720)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SUMIFS(RAB!$F$14:$F$52,RAB!$C$14:$C$52,C721)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SUMIFS(RAB!$F$14:$F$52,RAB!$C$14:$C$52,C722)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SUMIFS(RAB!$F$14:$F$52,RAB!$C$14:$C$52,C723)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SUMIFS(RAB!$F$14:$F$52,RAB!$C$14:$C$52,C724)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SUMIFS(RAB!$F$14:$F$52,RAB!$C$14:$C$52,C725)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SUMIFS(RAB!$F$14:$F$52,RAB!$C$14:$C$52,C726)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SUMIFS(RAB!$F$14:$F$52,RAB!$C$14:$C$52,C727)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SUMIFS(RAB!$F$14:$F$52,RAB!$C$14:$C$52,C728)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SUMIFS(RAB!$F$14:$F$52,RAB!$C$14:$C$52,C729)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SUMIFS(RAB!$F$14:$F$52,RAB!$C$14:$C$52,C730)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SUMIFS(RAB!$F$14:$F$52,RAB!$C$14:$C$52,C731)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SUMIFS(RAB!$F$14:$F$52,RAB!$C$14:$C$52,C732)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SUMIFS(RAB!$F$14:$F$52,RAB!$C$14:$C$52,C733)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SUMIFS(RAB!$F$14:$F$52,RAB!$C$14:$C$52,C734)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SUMIFS(RAB!$F$14:$F$52,RAB!$C$14:$C$52,C735)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SUMIFS(RAB!$F$14:$F$52,RAB!$C$14:$C$52,C736)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SUMIFS(RAB!$F$14:$F$52,RAB!$C$14:$C$52,C737)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SUMIFS(RAB!$F$14:$F$52,RAB!$C$14:$C$52,C738)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SUMIFS(RAB!$F$14:$F$52,RAB!$C$14:$C$52,C739)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SUMIFS(RAB!$F$14:$F$52,RAB!$C$14:$C$52,C740)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SUMIFS(RAB!$F$14:$F$52,RAB!$C$14:$C$52,C741)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SUMIFS(RAB!$F$14:$F$52,RAB!$C$14:$C$52,C742)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SUMIFS(RAB!$F$14:$F$52,RAB!$C$14:$C$52,C743)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SUMIFS(RAB!$F$14:$F$52,RAB!$C$14:$C$52,C744)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SUMIFS(RAB!$F$14:$F$52,RAB!$C$14:$C$52,C745)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SUMIFS(RAB!$F$14:$F$52,RAB!$C$14:$C$52,C746)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SUMIFS(RAB!$F$14:$F$52,RAB!$C$14:$C$52,C747)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SUMIFS(RAB!$F$14:$F$52,RAB!$C$14:$C$52,C748)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SUMIFS(RAB!$F$14:$F$52,RAB!$C$14:$C$52,C749)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SUMIFS(RAB!$F$14:$F$52,RAB!$C$14:$C$52,C750)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SUMIFS(RAB!$F$14:$F$52,RAB!$C$14:$C$52,C751)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SUMIFS(RAB!$F$14:$F$52,RAB!$C$14:$C$52,C752)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SUMIFS(RAB!$F$14:$F$52,RAB!$C$14:$C$52,C753)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SUMIFS(RAB!$F$14:$F$52,RAB!$C$14:$C$52,C754)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SUMIFS(RAB!$F$14:$F$52,RAB!$C$14:$C$52,C755)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SUMIFS(RAB!$F$14:$F$52,RAB!$C$14:$C$52,C756)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SUMIFS(RAB!$F$14:$F$52,RAB!$C$14:$C$52,C757)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SUMIFS(RAB!$F$14:$F$52,RAB!$C$14:$C$52,C758)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SUMIFS(RAB!$F$14:$F$52,RAB!$C$14:$C$52,C759)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SUMIFS(RAB!$F$14:$F$52,RAB!$C$14:$C$52,C760)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SUMIFS(RAB!$F$14:$F$52,RAB!$C$14:$C$52,C761)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SUMIFS(RAB!$F$14:$F$52,RAB!$C$14:$C$52,C762)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SUMIFS(RAB!$F$14:$F$52,RAB!$C$14:$C$52,C763)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SUMIFS(RAB!$F$14:$F$52,RAB!$C$14:$C$52,C764)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SUMIFS(RAB!$F$14:$F$52,RAB!$C$14:$C$52,C765)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SUMIFS(RAB!$F$14:$F$52,RAB!$C$14:$C$52,C766)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SUMIFS(RAB!$F$14:$F$52,RAB!$C$14:$C$52,C767)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SUMIFS(RAB!$F$14:$F$52,RAB!$C$14:$C$52,C768)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SUMIFS(RAB!$F$14:$F$52,RAB!$C$14:$C$52,C769)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SUMIFS(RAB!$F$14:$F$52,RAB!$C$14:$C$52,C770)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SUMIFS(RAB!$F$14:$F$52,RAB!$C$14:$C$52,C771)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SUMIFS(RAB!$F$14:$F$52,RAB!$C$14:$C$52,C772)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SUMIFS(RAB!$F$14:$F$52,RAB!$C$14:$C$52,C773)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SUMIFS(RAB!$F$14:$F$52,RAB!$C$14:$C$52,C774)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SUMIFS(RAB!$F$14:$F$52,RAB!$C$14:$C$52,C775)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SUMIFS(RAB!$F$14:$F$52,RAB!$C$14:$C$52,C776)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SUMIFS(RAB!$F$14:$F$52,RAB!$C$14:$C$52,C777)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SUMIFS(RAB!$F$14:$F$52,RAB!$C$14:$C$52,C778)</f>
        <v>1</v>
      </c>
      <c r="E778" s="26">
        <f t="shared" ca="1" si="33"/>
        <v>1</v>
      </c>
      <c r="F778" s="26">
        <f ca="1">IF(D778=0,0,SUM($E$713:E778))</f>
        <v>2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SUMIFS(RAB!$F$14:$F$52,RAB!$C$14:$C$52,C779)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SUMIFS(RAB!$F$14:$F$52,RAB!$C$14:$C$52,C780)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SUMIFS(RAB!$F$14:$F$52,RAB!$C$14:$C$52,C781)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SUMIFS(RAB!$F$14:$F$52,RAB!$C$14:$C$52,C782)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SUMIFS(RAB!$F$14:$F$52,RAB!$C$14:$C$52,C783)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SUMIFS(RAB!$F$14:$F$52,RAB!$C$14:$C$52,C784)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SUMIFS(RAB!$F$14:$F$52,RAB!$C$14:$C$52,C785)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SUMIFS(RAB!$F$14:$F$52,RAB!$C$14:$C$52,C786)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SUMIFS(RAB!$F$14:$F$52,RAB!$C$14:$C$52,C787)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SUMIFS(RAB!$F$14:$F$52,RAB!$C$14:$C$52,C788)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SUMIFS(RAB!$F$14:$F$52,RAB!$C$14:$C$52,C789)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SUMIFS(RAB!$F$14:$F$52,RAB!$C$14:$C$52,C790)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SUMIFS(RAB!$F$14:$F$52,RAB!$C$14:$C$52,C791)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SUMIFS(RAB!$F$14:$F$52,RAB!$C$14:$C$52,C792)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SUMIFS(RAB!$F$14:$F$52,RAB!$C$14:$C$52,C793)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SUMIFS(RAB!$F$14:$F$52,RAB!$C$14:$C$52,C794)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SUMIFS(RAB!$F$14:$F$52,RAB!$C$14:$C$52,C795)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SUMIFS(RAB!$F$14:$F$52,RAB!$C$14:$C$52,C796)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SUMIFS(RAB!$F$14:$F$52,RAB!$C$14:$C$52,C797)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SUMIFS(RAB!$F$14:$F$52,RAB!$C$14:$C$52,C798)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SUMIFS(RAB!$F$14:$F$52,RAB!$C$14:$C$52,C799)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SUMIFS(RAB!$F$14:$F$52,RAB!$C$14:$C$52,C800)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SUMIFS(RAB!$F$14:$F$52,RAB!$C$14:$C$52,C801)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SUMIFS(RAB!$F$14:$F$52,RAB!$C$14:$C$52,C802)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SUMIFS(RAB!$F$14:$F$52,RAB!$C$14:$C$52,C803)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SUMIFS(RAB!$F$14:$F$52,RAB!$C$14:$C$52,C804)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SUMIFS(RAB!$F$14:$F$52,RAB!$C$14:$C$52,C805)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SUMIFS(RAB!$F$14:$F$52,RAB!$C$14:$C$52,C806)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SUMIFS(RAB!$F$14:$F$52,RAB!$C$14:$C$52,C807)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SUMIFS(RAB!$F$14:$F$52,RAB!$C$14:$C$52,C808)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SUMIFS(RAB!$F$14:$F$52,RAB!$C$14:$C$52,C809)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SUMIFS(RAB!$F$14:$F$52,RAB!$C$14:$C$52,C810)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SUMIFS(RAB!$F$14:$F$52,RAB!$C$14:$C$52,C811)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SUMIFS(RAB!$F$14:$F$52,RAB!$C$14:$C$52,C812)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SUMIFS(RAB!$F$14:$F$52,RAB!$C$14:$C$52,C813)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SUMIFS(RAB!$F$14:$F$52,RAB!$C$14:$C$52,C814)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SUMIFS(RAB!$F$14:$F$52,RAB!$C$14:$C$52,C815)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SUMIFS(RAB!$F$14:$F$52,RAB!$C$14:$C$52,C816)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SUMIFS(RAB!$F$14:$F$52,RAB!$C$14:$C$52,C817)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SUMIFS(RAB!$F$14:$F$52,RAB!$C$14:$C$52,C818)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SUMIFS(RAB!$F$14:$F$52,RAB!$C$14:$C$52,C819)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SUMIFS(RAB!$F$14:$F$52,RAB!$C$14:$C$52,C820)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SUMIFS(RAB!$F$14:$F$52,RAB!$C$14:$C$52,C821)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SUMIFS(RAB!$F$14:$F$52,RAB!$C$14:$C$52,C822)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SUMIFS(RAB!$F$14:$F$52,RAB!$C$14:$C$52,C823)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SUMIFS(RAB!$F$14:$F$52,RAB!$C$14:$C$52,C824)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SUMIFS(RAB!$F$14:$F$52,RAB!$C$14:$C$52,C825)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SUMIFS(RAB!$F$14:$F$52,RAB!$C$14:$C$52,C826)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SUMIFS(RAB!$F$14:$F$52,RAB!$C$14:$C$52,C827)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SUMIFS(RAB!$F$14:$F$52,RAB!$C$14:$C$52,C828)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SUMIFS(RAB!$F$14:$F$52,RAB!$C$14:$C$52,C829)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SUMIFS(RAB!$F$14:$F$52,RAB!$C$14:$C$52,C830)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SUMIFS(RAB!$F$14:$F$52,RAB!$C$14:$C$52,C831)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SUMIFS(RAB!$F$14:$F$52,RAB!$C$14:$C$52,C832)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SUMIFS(RAB!$F$14:$F$52,RAB!$C$14:$C$52,C833)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SUMIFS(RAB!$F$14:$F$52,RAB!$C$14:$C$52,C834)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SUMIFS(RAB!$F$14:$F$52,RAB!$C$14:$C$52,C835)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SUMIFS(RAB!$F$14:$F$52,RAB!$C$14:$C$52,C836)</f>
        <v>110</v>
      </c>
      <c r="E836" s="26">
        <f t="shared" ca="1" si="34"/>
        <v>1</v>
      </c>
      <c r="F836" s="26">
        <f ca="1">IF(D836=0,0,SUM($E$713:E836))</f>
        <v>3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SUMIFS(RAB!$F$14:$F$52,RAB!$C$14:$C$52,C837)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SUMIFS(RAB!$F$14:$F$52,RAB!$C$14:$C$52,C838)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SUMIFS(RAB!$F$14:$F$52,RAB!$C$14:$C$52,C839)</f>
        <v>35</v>
      </c>
      <c r="E839" s="26">
        <f t="shared" ca="1" si="34"/>
        <v>1</v>
      </c>
      <c r="F839" s="26">
        <f ca="1">IF(D839=0,0,SUM($E$713:E839))</f>
        <v>4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SUMIFS(RAB!$F$14:$F$52,RAB!$C$14:$C$52,C840)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SUMIFS(RAB!$F$14:$F$52,RAB!$C$14:$C$52,C841)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SUMIFS(RAB!$F$14:$F$52,RAB!$C$14:$C$52,C842)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SUMIFS(RAB!$F$14:$F$52,RAB!$C$14:$C$52,C843)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SUMIFS(RAB!$F$14:$F$52,RAB!$C$14:$C$52,C844)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SUMIFS(RAB!$F$14:$F$52,RAB!$C$14:$C$52,C845)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SUMIFS(RAB!$F$14:$F$52,RAB!$C$14:$C$52,C846)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SUMIFS(RAB!$F$14:$F$52,RAB!$C$14:$C$52,C847)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SUMIFS(RAB!$F$14:$F$52,RAB!$C$14:$C$52,C848)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SUMIFS(RAB!$F$14:$F$52,RAB!$C$14:$C$52,C849)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SUMIFS(RAB!$F$14:$F$52,RAB!$C$14:$C$52,C850)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SUMIFS(RAB!$F$14:$F$52,RAB!$C$14:$C$52,C851)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SUMIFS(RAB!$F$14:$F$52,RAB!$C$14:$C$52,C852)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SUMIFS(RAB!$F$14:$F$52,RAB!$C$14:$C$52,C853)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SUMIFS(RAB!$F$14:$F$52,RAB!$C$14:$C$52,C854)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SUMIFS(RAB!$F$14:$F$52,RAB!$C$14:$C$52,C855)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SUMIFS(RAB!$F$14:$F$52,RAB!$C$14:$C$52,C856)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SUMIFS(RAB!$F$14:$F$52,RAB!$C$14:$C$52,C857)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SUMIFS(RAB!$F$14:$F$52,RAB!$C$14:$C$52,C858)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SUMIFS(RAB!$F$14:$F$52,RAB!$C$14:$C$52,C859)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SUMIFS(RAB!$F$14:$F$52,RAB!$C$14:$C$52,C860)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SUMIFS(RAB!$F$14:$F$52,RAB!$C$14:$C$52,C861)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SUMIFS(RAB!$F$14:$F$52,RAB!$C$14:$C$52,C862)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SUMIFS(RAB!$F$14:$F$52,RAB!$C$14:$C$52,C863)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SUMIFS(RAB!$F$14:$F$52,RAB!$C$14:$C$52,C864)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SUMIFS(RAB!$F$14:$F$52,RAB!$C$14:$C$52,C865)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SUMIFS(RAB!$F$14:$F$52,RAB!$C$14:$C$52,C866)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SUMIFS(RAB!$F$14:$F$52,RAB!$C$14:$C$52,C867)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SUMIFS(RAB!$F$14:$F$52,RAB!$C$14:$C$52,C868)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SUMIFS(RAB!$F$14:$F$52,RAB!$C$14:$C$52,C869)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SUMIFS(RAB!$F$14:$F$52,RAB!$C$14:$C$52,C870)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SUMIFS(RAB!$F$14:$F$52,RAB!$C$14:$C$52,C871)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SUMIFS(RAB!$F$14:$F$52,RAB!$C$14:$C$52,C872)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SUMIFS(RAB!$F$14:$F$52,RAB!$C$14:$C$52,C873)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SUMIFS(RAB!$F$14:$F$52,RAB!$C$14:$C$52,C874)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SUMIFS(RAB!$F$14:$F$52,RAB!$C$14:$C$52,C875)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SUMIFS(RAB!$F$14:$F$52,RAB!$C$14:$C$52,C876)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SUMIFS(RAB!$F$14:$F$52,RAB!$C$14:$C$52,C877)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SUMIFS(RAB!$F$14:$F$52,RAB!$C$14:$C$52,C878)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SUMIFS(RAB!$F$14:$F$52,RAB!$C$14:$C$52,C879)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SUMIFS(RAB!$F$14:$F$52,RAB!$C$14:$C$52,C880)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SUMIFS(RAB!$F$14:$F$52,RAB!$C$14:$C$52,C881)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SUMIFS(RAB!$F$14:$F$52,RAB!$C$14:$C$52,C882)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SUMIFS(RAB!$F$14:$F$52,RAB!$C$14:$C$52,C883)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SUMIFS(RAB!$F$14:$F$52,RAB!$C$14:$C$52,C884)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SUMIFS(RAB!$F$14:$F$52,RAB!$C$14:$C$52,C885)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SUMIFS(RAB!$F$14:$F$52,RAB!$C$14:$C$52,C886)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SUMIFS(RAB!$F$14:$F$52,RAB!$C$14:$C$52,C887)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SUMIFS(RAB!$F$14:$F$52,RAB!$C$14:$C$52,C888)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SUMIFS(RAB!$F$14:$F$52,RAB!$C$14:$C$52,C889)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SUMIFS(RAB!$F$14:$F$52,RAB!$C$14:$C$52,C890)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SUMIFS(RAB!$F$14:$F$52,RAB!$C$14:$C$52,C891)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SUMIFS(RAB!$F$14:$F$52,RAB!$C$14:$C$52,C892)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SUMIFS(RAB!$F$14:$F$52,RAB!$C$14:$C$52,C893)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SUMIFS(RAB!$F$14:$F$52,RAB!$C$14:$C$52,C894)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SUMIFS(RAB!$F$14:$F$52,RAB!$C$14:$C$52,C895)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SUMIFS(RAB!$F$14:$F$52,RAB!$C$14:$C$52,C896)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SUMIFS(RAB!$F$14:$F$52,RAB!$C$14:$C$52,C897)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SUMIFS(RAB!$F$14:$F$52,RAB!$C$14:$C$52,C898)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SUMIFS(RAB!$F$14:$F$52,RAB!$C$14:$C$52,C899)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SUMIFS(RAB!$F$14:$F$52,RAB!$C$14:$C$52,C900)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SUMIFS(RAB!$F$14:$F$52,RAB!$C$14:$C$52,C901)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SUMIFS(RAB!$F$14:$F$52,RAB!$C$14:$C$52,C902)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SUMIFS(RAB!$F$14:$F$52,RAB!$C$14:$C$52,C903)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SUMIFS(RAB!$F$14:$F$52,RAB!$C$14:$C$52,C904)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SUMIFS(RAB!$F$14:$F$52,RAB!$C$14:$C$52,C905)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SUMIFS(RAB!$F$14:$F$52,RAB!$C$14:$C$52,C906)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SUMIFS(RAB!$F$14:$F$52,RAB!$C$14:$C$52,C907)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SUMIFS(RAB!$F$14:$F$52,RAB!$C$14:$C$52,C908)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SUMIFS(RAB!$F$14:$F$52,RAB!$C$14:$C$52,C909)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SUMIFS(RAB!$F$14:$F$52,RAB!$C$14:$C$52,C910)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SUMIFS(RAB!$F$14:$F$52,RAB!$C$14:$C$52,C911)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SUMIFS(RAB!$F$14:$F$52,RAB!$C$14:$C$52,C912)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SUMIFS(RAB!$F$14:$F$52,RAB!$C$14:$C$52,C913)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SUMIFS(RAB!$F$14:$F$52,RAB!$C$14:$C$52,C914)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SUMIFS(RAB!$F$14:$F$52,RAB!$C$14:$C$52,C915)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SUMIFS(RAB!$F$14:$F$52,RAB!$C$14:$C$52,C916)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SUMIFS(RAB!$F$14:$F$52,RAB!$C$14:$C$52,C917)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SUMIFS(RAB!$F$14:$F$52,RAB!$C$14:$C$52,C918)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SUMIFS(RAB!$F$14:$F$52,RAB!$C$14:$C$52,C919)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SUMIFS(RAB!$F$14:$F$52,RAB!$C$14:$C$52,C920)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SUMIFS(RAB!$F$14:$F$52,RAB!$C$14:$C$52,C921)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SUMIFS(RAB!$F$14:$F$52,RAB!$C$14:$C$52,C922)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SUMIFS(RAB!$F$14:$F$52,RAB!$C$14:$C$52,C923)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SUMIFS(RAB!$F$14:$F$52,RAB!$C$14:$C$52,C924)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SUMIFS(RAB!$F$14:$F$52,RAB!$C$14:$C$52,C925)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SUMIFS(RAB!$F$14:$F$52,RAB!$C$14:$C$52,C926)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SUMIFS(RAB!$F$14:$F$52,RAB!$C$14:$C$52,C927)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SUMIFS(RAB!$F$14:$F$52,RAB!$C$14:$C$52,C928)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SUMIFS(RAB!$F$14:$F$52,RAB!$C$14:$C$52,C929)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SUMIFS(RAB!$F$14:$F$52,RAB!$C$14:$C$52,C930)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SUMIFS(RAB!$F$14:$F$52,RAB!$C$14:$C$52,C931)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SUMIFS(RAB!$F$14:$F$52,RAB!$C$14:$C$52,C932)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SUMIFS(RAB!$F$14:$F$52,RAB!$C$14:$C$52,C933)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SUMIFS(RAB!$F$14:$F$52,RAB!$C$14:$C$52,C934)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SUMIFS(RAB!$F$14:$F$52,RAB!$C$14:$C$52,C935)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SUMIFS(RAB!$F$14:$F$52,RAB!$C$14:$C$52,C936)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SUMIFS(RAB!$F$14:$F$52,RAB!$C$14:$C$52,C937)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SUMIFS(RAB!$F$14:$F$52,RAB!$C$14:$C$52,C938)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SUMIFS(RAB!$F$14:$F$52,RAB!$C$14:$C$52,C939)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SUMIFS(RAB!$F$14:$F$52,RAB!$C$14:$C$52,C940)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SUMIFS(RAB!$F$14:$F$52,RAB!$C$14:$C$52,C941)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SUMIFS(RAB!$F$14:$F$52,RAB!$C$14:$C$52,C942)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SUMIFS(RAB!$F$14:$F$52,RAB!$C$14:$C$52,C943)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SUMIFS(RAB!$F$14:$F$52,RAB!$C$14:$C$52,C944)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SUMIFS(RAB!$F$14:$F$52,RAB!$C$14:$C$52,C945)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SUMIFS(RAB!$F$14:$F$52,RAB!$C$14:$C$52,C946)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SUMIFS(RAB!$F$14:$F$52,RAB!$C$14:$C$52,C947)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SUMIFS(RAB!$F$14:$F$52,RAB!$C$14:$C$52,C948)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SUMIFS(RAB!$F$14:$F$52,RAB!$C$14:$C$52,C949)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SUMIFS(RAB!$F$14:$F$52,RAB!$C$14:$C$52,C950)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SUMIFS(RAB!$F$14:$F$52,RAB!$C$14:$C$52,C951)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SUMIFS(RAB!$F$14:$F$52,RAB!$C$14:$C$52,C952)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SUMIFS(RAB!$F$14:$F$52,RAB!$C$14:$C$52,C953)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SUMIFS(RAB!$F$14:$F$52,RAB!$C$14:$C$52,C954)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SUMIFS(RAB!$F$14:$F$52,RAB!$C$14:$C$52,C955)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SUMIFS(RAB!$F$14:$F$52,RAB!$C$14:$C$52,C956)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SUMIFS(RAB!$F$14:$F$52,RAB!$C$14:$C$52,C957)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SUMIFS(RAB!$F$14:$F$52,RAB!$C$14:$C$52,C958)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SUMIFS(RAB!$F$14:$F$52,RAB!$C$14:$C$52,C959)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SUMIFS(RAB!$F$14:$F$52,RAB!$C$14:$C$52,C960)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SUMIFS(RAB!$F$14:$F$52,RAB!$C$14:$C$52,C961)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SUMIFS(RAB!$F$14:$F$52,RAB!$C$14:$C$52,C962)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SUMIFS(RAB!$F$14:$F$52,RAB!$C$14:$C$52,C963)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SUMIFS(RAB!$F$14:$F$52,RAB!$C$14:$C$52,C964)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SUMIFS(RAB!$F$14:$F$52,RAB!$C$14:$C$52,C965)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SUMIFS(RAB!$F$14:$F$52,RAB!$C$14:$C$52,C966)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SUMIFS(RAB!$F$14:$F$52,RAB!$C$14:$C$52,C967)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SUMIFS(RAB!$F$14:$F$52,RAB!$C$14:$C$52,C968)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SUMIFS(RAB!$F$14:$F$52,RAB!$C$14:$C$52,C969)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SUMIFS(RAB!$F$14:$F$52,RAB!$C$14:$C$52,C970)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SUMIFS(RAB!$F$14:$F$52,RAB!$C$14:$C$52,C971)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SUMIFS(RAB!$F$14:$F$52,RAB!$C$14:$C$52,C972)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SUMIFS(RAB!$F$14:$F$52,RAB!$C$14:$C$52,C973)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SUMIFS(RAB!$F$14:$F$52,RAB!$C$14:$C$52,C974)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SUMIFS(RAB!$F$14:$F$52,RAB!$C$14:$C$52,C975)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SUMIFS(RAB!$F$14:$F$52,RAB!$C$14:$C$52,C976)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SUMIFS(RAB!$F$14:$F$52,RAB!$C$14:$C$52,C977)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SUMIFS(RAB!$F$14:$F$52,RAB!$C$14:$C$52,C978)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SUMIFS(RAB!$F$14:$F$52,RAB!$C$14:$C$52,C979)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SUMIFS(RAB!$F$14:$F$52,RAB!$C$14:$C$52,C980)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SUMIFS(RAB!$F$14:$F$52,RAB!$C$14:$C$52,C981)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SUMIFS(RAB!$F$14:$F$52,RAB!$C$14:$C$52,C982)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SUMIFS(RAB!$F$14:$F$52,RAB!$C$14:$C$52,C983)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SUMIFS(RAB!$F$14:$F$52,RAB!$C$14:$C$52,C984)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SUMIFS(RAB!$F$14:$F$52,RAB!$C$14:$C$52,C985)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SUMIFS(RAB!$F$14:$F$52,RAB!$C$14:$C$52,C986)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SUMIFS(RAB!$F$14:$F$52,RAB!$C$14:$C$52,C987)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SUMIFS(RAB!$F$14:$F$52,RAB!$C$14:$C$52,C988)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SUMIFS(RAB!$F$14:$F$52,RAB!$C$14:$C$52,C989)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SUMIFS(RAB!$F$14:$F$52,RAB!$C$14:$C$52,C990)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SUMIFS(RAB!$F$14:$F$52,RAB!$C$14:$C$52,C991)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SUMIFS(RAB!$F$14:$F$52,RAB!$C$14:$C$52,C992)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SUMIFS(RAB!$F$14:$F$52,RAB!$C$14:$C$52,C993)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SUMIFS(RAB!$F$14:$F$52,RAB!$C$14:$C$52,C994)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SUMIFS(RAB!$F$14:$F$52,RAB!$C$14:$C$52,C995)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SUMIFS(RAB!$F$14:$F$52,RAB!$C$14:$C$52,C996)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SUMIFS(RAB!$F$14:$F$52,RAB!$C$14:$C$52,C997)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SUMIFS(RAB!$F$14:$F$52,RAB!$C$14:$C$52,C998)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SUMIFS(RAB!$F$14:$F$52,RAB!$C$14:$C$52,C999)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SUMIFS(RAB!$F$14:$F$52,RAB!$C$14:$C$52,C1000)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SUMIFS(RAB!$F$14:$F$52,RAB!$C$14:$C$52,C1001)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SUMIFS(RAB!$F$14:$F$52,RAB!$C$14:$C$52,C1002)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SUMIFS(RAB!$F$14:$F$52,RAB!$C$14:$C$52,C1003)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SUMIFS(RAB!$F$14:$F$52,RAB!$C$14:$C$52,C1004)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SUMIFS(RAB!$F$14:$F$52,RAB!$C$14:$C$52,C1005)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SUMIFS(RAB!$F$14:$F$52,RAB!$C$14:$C$52,C1006)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SUMIFS(RAB!$F$14:$F$52,RAB!$C$14:$C$52,C1007)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SUMIFS(RAB!$F$14:$F$52,RAB!$C$14:$C$52,C1008)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SUMIFS(RAB!$F$14:$F$52,RAB!$C$14:$C$52,C1009)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SUMIFS(RAB!$F$14:$F$52,RAB!$C$14:$C$52,C1010)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SUMIFS(RAB!$F$14:$F$52,RAB!$C$14:$C$52,C1011)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SUMIFS(RAB!$F$14:$F$52,RAB!$C$14:$C$52,C1012)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SUMIFS(RAB!$F$14:$F$52,RAB!$C$14:$C$52,C1013)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SUMIFS(RAB!$F$14:$F$52,RAB!$C$14:$C$52,C1014)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SUMIFS(RAB!$F$14:$F$52,RAB!$C$14:$C$52,C1015)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SUMIFS(RAB!$F$14:$F$52,RAB!$C$14:$C$52,C1016)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SUMIFS(RAB!$F$14:$F$52,RAB!$C$14:$C$52,C1017)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SUMIFS(RAB!$F$14:$F$52,RAB!$C$14:$C$52,C1018)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SUMIFS(RAB!$F$14:$F$52,RAB!$C$14:$C$52,C1019)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SUMIFS(RAB!$F$14:$F$52,RAB!$C$14:$C$52,C1020)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SUMIFS(RAB!$F$14:$F$52,RAB!$C$14:$C$52,C1021)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SUMIFS(RAB!$F$14:$F$52,RAB!$C$14:$C$52,C1022)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SUMIFS(RAB!$F$14:$F$52,RAB!$C$14:$C$52,C1023)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SUMIFS(RAB!$F$14:$F$52,RAB!$C$14:$C$52,C1024)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SUMIFS(RAB!$F$14:$F$52,RAB!$C$14:$C$52,C1025)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SUMIFS(RAB!$F$14:$F$52,RAB!$C$14:$C$52,C1026)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SUMIFS(RAB!$F$14:$F$52,RAB!$C$14:$C$52,C1027)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SUMIFS(RAB!$F$14:$F$52,RAB!$C$14:$C$52,C1028)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SUMIFS(RAB!$F$14:$F$52,RAB!$C$14:$C$52,C1029)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SUMIFS(RAB!$F$14:$F$52,RAB!$C$14:$C$52,C1030)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SUMIFS(RAB!$F$14:$F$52,RAB!$C$14:$C$52,C1031)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SUMIFS(RAB!$F$14:$F$52,RAB!$C$14:$C$52,C1032)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SUMIFS(RAB!$F$14:$F$52,RAB!$C$14:$C$52,C1033)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SUMIFS(RAB!$F$14:$F$52,RAB!$C$14:$C$52,C1034)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SUMIFS(RAB!$F$14:$F$52,RAB!$C$14:$C$52,C1035)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SUMIFS(RAB!$F$14:$F$52,RAB!$C$14:$C$52,C1036)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SUMIFS(RAB!$F$14:$F$52,RAB!$C$14:$C$52,C1037)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SUMIFS(RAB!$F$14:$F$52,RAB!$C$14:$C$52,C1038)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SUMIFS(RAB!$F$14:$F$52,RAB!$C$14:$C$52,C1039)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SUMIFS(RAB!$F$14:$F$52,RAB!$C$14:$C$52,C1040)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SUMIFS(RAB!$F$14:$F$52,RAB!$C$14:$C$52,C1041)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SUMIFS(RAB!$F$14:$F$52,RAB!$C$14:$C$52,C1042)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SUMIFS(RAB!$F$14:$F$52,RAB!$C$14:$C$52,C1043)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SUMIFS(RAB!$F$14:$F$52,RAB!$C$14:$C$52,C1044)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SUMIFS(RAB!$F$14:$F$52,RAB!$C$14:$C$52,C1045)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SUMIFS(RAB!$F$14:$F$52,RAB!$C$14:$C$52,C1046)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SUMIFS(RAB!$F$14:$F$52,RAB!$C$14:$C$52,C1047)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SUMIFS(RAB!$F$14:$F$52,RAB!$C$14:$C$52,C1048)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SUMIFS(RAB!$F$14:$F$52,RAB!$C$14:$C$52,C1049)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SUMIFS(RAB!$F$14:$F$52,RAB!$C$14:$C$52,C1050)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SUMIFS(RAB!$F$14:$F$52,RAB!$C$14:$C$52,C1051)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SUMIFS(RAB!$F$14:$F$52,RAB!$C$14:$C$52,C1052)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SUMIFS(RAB!$F$14:$F$52,RAB!$C$14:$C$52,C1053)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SUMIFS(RAB!$F$14:$F$52,RAB!$C$14:$C$52,C1054)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SUMIFS(RAB!$F$14:$F$52,RAB!$C$14:$C$52,C1055)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SUMIFS(RAB!$F$14:$F$52,RAB!$C$14:$C$52,C1056)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SUMIFS(RAB!$F$14:$F$52,RAB!$C$14:$C$52,C1057)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SUMIFS(RAB!$F$14:$F$52,RAB!$C$14:$C$52,C1058)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SUMIFS(RAB!$F$14:$F$52,RAB!$C$14:$C$52,C1059)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SUMIFS(RAB!$F$14:$F$52,RAB!$C$14:$C$52,C1060)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SUMIFS(RAB!$F$14:$F$52,RAB!$C$14:$C$52,C1061)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SUMIFS(RAB!$F$14:$F$52,RAB!$C$14:$C$52,C1062)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SUMIFS(RAB!$F$14:$F$52,RAB!$C$14:$C$52,C1063)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SUMIFS(RAB!$F$14:$F$52,RAB!$C$14:$C$52,C1064)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SUMIFS(RAB!$F$14:$F$52,RAB!$C$14:$C$52,C1065)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SUMIFS(RAB!$F$14:$F$52,RAB!$C$14:$C$52,C1066)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SUMIFS(RAB!$F$14:$F$52,RAB!$C$14:$C$52,C1067)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SUMIFS(RAB!$F$14:$F$52,RAB!$C$14:$C$52,C1068)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SUMIFS(RAB!$F$14:$F$52,RAB!$C$14:$C$52,C1069)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SUMIFS(RAB!$F$14:$F$52,RAB!$C$14:$C$52,C1070)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SUMIFS(RAB!$F$14:$F$52,RAB!$C$14:$C$52,C1071)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SUMIFS(RAB!$F$14:$F$52,RAB!$C$14:$C$52,C1072)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SUMIFS(RAB!$F$14:$F$52,RAB!$C$14:$C$52,C1073)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SUMIFS(RAB!$F$14:$F$52,RAB!$C$14:$C$52,C1074)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SUMIFS(RAB!$F$14:$F$52,RAB!$C$14:$C$52,C1075)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SUMIFS(RAB!$F$14:$F$52,RAB!$C$14:$C$52,C1076)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SUMIFS(RAB!$F$14:$F$52,RAB!$C$14:$C$52,C1077)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SUMIFS(RAB!$F$14:$F$52,RAB!$C$14:$C$52,C1078)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SUMIFS(RAB!$F$14:$F$52,RAB!$C$14:$C$52,C1079)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SUMIFS(RAB!$F$14:$F$52,RAB!$C$14:$C$52,C1080)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SUMIFS(RAB!$F$14:$F$52,RAB!$C$14:$C$52,C1081)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SUMIFS(RAB!$F$14:$F$52,RAB!$C$14:$C$52,C1082)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SUMIFS(RAB!$F$14:$F$52,RAB!$C$14:$C$52,C1083)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SUMIFS(RAB!$F$14:$F$52,RAB!$C$14:$C$52,C1084)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SUMIFS(RAB!$F$14:$F$52,RAB!$C$14:$C$52,C1085)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SUMIFS(RAB!$F$14:$F$52,RAB!$C$14:$C$52,C1086)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SUMIFS(RAB!$F$14:$F$52,RAB!$C$14:$C$52,C1087)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SUMIFS(RAB!$F$14:$F$52,RAB!$C$14:$C$52,C1088)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SUMIFS(RAB!$F$14:$F$52,RAB!$C$14:$C$52,C1089)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SUMIFS(RAB!$F$14:$F$52,RAB!$C$14:$C$52,C1090)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SUMIFS(RAB!$F$14:$F$52,RAB!$C$14:$C$52,C1091)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SUMIFS(RAB!$F$14:$F$52,RAB!$C$14:$C$52,C1092)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SUMIFS(RAB!$F$14:$F$52,RAB!$C$14:$C$52,C1093)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SUMIFS(RAB!$F$14:$F$52,RAB!$C$14:$C$52,C1094)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SUMIFS(RAB!$F$14:$F$52,RAB!$C$14:$C$52,C1095)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SUMIFS(RAB!$F$14:$F$52,RAB!$C$14:$C$52,C1096)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SUMIFS(RAB!$F$14:$F$52,RAB!$C$14:$C$52,C1097)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SUMIFS(RAB!$F$14:$F$52,RAB!$C$14:$C$52,C1098)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SUMIFS(RAB!$F$14:$F$52,RAB!$C$14:$C$52,C1099)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SUMIFS(RAB!$F$14:$F$52,RAB!$C$14:$C$52,C1100)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SUMIFS(RAB!$F$14:$F$52,RAB!$C$14:$C$52,C1101)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SUMIFS(RAB!$F$14:$F$52,RAB!$C$14:$C$52,C1102)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SUMIFS(RAB!$F$14:$F$52,RAB!$C$14:$C$52,C1103)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SUMIFS(RAB!$F$14:$F$52,RAB!$C$14:$C$52,C1104)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SUMIFS(RAB!$F$14:$F$52,RAB!$C$14:$C$52,C1105)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SUMIFS(RAB!$F$14:$F$52,RAB!$C$14:$C$52,C1106)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SUMIFS(RAB!$F$14:$F$52,RAB!$C$14:$C$52,C1107)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SUMIFS(RAB!$F$14:$F$52,RAB!$C$14:$C$52,C1108)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SUMIFS(RAB!$F$14:$F$52,RAB!$C$14:$C$52,C1109)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SUMIFS(RAB!$F$14:$F$52,RAB!$C$14:$C$52,C1110)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SUMIFS(RAB!$F$14:$F$52,RAB!$C$14:$C$52,C1111)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SUMIFS(RAB!$F$14:$F$52,RAB!$C$14:$C$52,C1112)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SUMIFS(RAB!$F$14:$F$52,RAB!$C$14:$C$52,C1113)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SUMIFS(RAB!$F$14:$F$52,RAB!$C$14:$C$52,C1114)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SUMIFS(RAB!$F$14:$F$52,RAB!$C$14:$C$52,C1115)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SUMIFS(RAB!$F$14:$F$52,RAB!$C$14:$C$52,C1116)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SUMIFS(RAB!$F$14:$F$52,RAB!$C$14:$C$52,C1117)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SUMIFS(RAB!$F$14:$F$52,RAB!$C$14:$C$52,C1118)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SUMIFS(RAB!$F$14:$F$52,RAB!$C$14:$C$52,C1119)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SUMIFS(RAB!$F$14:$F$52,RAB!$C$14:$C$52,C1120)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SUMIFS(RAB!$F$14:$F$52,RAB!$C$14:$C$52,C1121)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SUMIFS(RAB!$F$14:$F$52,RAB!$C$14:$C$52,C1122)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SUMIFS(RAB!$F$14:$F$52,RAB!$C$14:$C$52,C1123)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SUMIFS(RAB!$F$14:$F$52,RAB!$C$14:$C$52,C1124)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SUMIFS(RAB!$F$14:$F$52,RAB!$C$14:$C$52,C1125)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SUMIFS(RAB!$F$14:$F$52,RAB!$C$14:$C$52,C1126)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SUMIFS(RAB!$F$14:$F$52,RAB!$C$14:$C$52,C1127)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SUMIFS(RAB!$F$14:$F$52,RAB!$C$14:$C$52,C1128)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SUMIFS(RAB!$F$14:$F$52,RAB!$C$14:$C$52,C1129)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SUMIFS(RAB!$F$14:$F$52,RAB!$C$14:$C$52,C1130)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SUMIFS(RAB!$F$14:$F$52,RAB!$C$14:$C$52,C1131)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SUMIFS(RAB!$F$14:$F$52,RAB!$C$14:$C$52,C1132)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SUMIFS(RAB!$F$14:$F$52,RAB!$C$14:$C$52,C1133)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SUMIFS(RAB!$F$14:$F$52,RAB!$C$14:$C$52,C1134)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SUMIFS(RAB!$F$14:$F$52,RAB!$C$14:$C$52,C1135)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SUMIFS(RAB!$F$14:$F$52,RAB!$C$14:$C$52,C1136)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SUMIFS(RAB!$F$14:$F$52,RAB!$C$14:$C$52,C1137)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SUMIFS(RAB!$F$14:$F$52,RAB!$C$14:$C$52,C1138)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SUMIFS(RAB!$F$14:$F$52,RAB!$C$14:$C$52,C1139)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SUMIFS(RAB!$F$14:$F$52,RAB!$C$14:$C$52,C1140)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SUMIFS(RAB!$F$14:$F$52,RAB!$C$14:$C$52,C1141)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SUMIFS(RAB!$F$14:$F$52,RAB!$C$14:$C$52,C1142)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SUMIFS(RAB!$F$14:$F$52,RAB!$C$14:$C$52,C1143)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SUMIFS(RAB!$F$14:$F$52,RAB!$C$14:$C$52,C1144)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SUMIFS(RAB!$F$14:$F$52,RAB!$C$14:$C$52,C1145)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SUMIFS(RAB!$F$14:$F$52,RAB!$C$14:$C$52,C1146)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SUMIFS(RAB!$F$14:$F$52,RAB!$C$14:$C$52,C1147)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SUMIFS(RAB!$F$14:$F$52,RAB!$C$14:$C$52,C1148)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SUMIFS(RAB!$F$14:$F$52,RAB!$C$14:$C$52,C1149)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SUMIFS(RAB!$F$14:$F$52,RAB!$C$14:$C$52,C1150)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SUMIFS(RAB!$F$14:$F$52,RAB!$C$14:$C$52,C1151)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SUMIFS(RAB!$F$14:$F$52,RAB!$C$14:$C$52,C1152)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SUMIFS(RAB!$F$14:$F$52,RAB!$C$14:$C$52,C1153)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SUMIFS(RAB!$F$14:$F$52,RAB!$C$14:$C$52,C1154)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SUMIFS(RAB!$F$14:$F$52,RAB!$C$14:$C$52,C1155)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SUMIFS(RAB!$F$14:$F$52,RAB!$C$14:$C$52,C1156)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SUMIFS(RAB!$F$14:$F$52,RAB!$C$14:$C$52,C1157)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SUMIFS(RAB!$F$14:$F$52,RAB!$C$14:$C$52,C1158)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SUMIFS(RAB!$F$14:$F$52,RAB!$C$14:$C$52,C1159)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SUMIFS(RAB!$F$14:$F$52,RAB!$C$14:$C$52,C1160)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SUMIFS(RAB!$F$14:$F$52,RAB!$C$14:$C$52,C1161)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SUMIFS(RAB!$F$14:$F$52,RAB!$C$14:$C$52,C1162)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SUMIFS(RAB!$F$14:$F$52,RAB!$C$14:$C$52,C1163)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SUMIFS(RAB!$F$14:$F$52,RAB!$C$14:$C$52,C1164)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SUMIFS(RAB!$F$14:$F$52,RAB!$C$14:$C$52,C1165)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SUMIFS(RAB!$F$14:$F$52,RAB!$C$14:$C$52,C1166)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SUMIFS(RAB!$F$14:$F$52,RAB!$C$14:$C$52,C1167)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SUMIFS(RAB!$F$14:$F$52,RAB!$C$14:$C$52,C1168)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SUMIFS(RAB!$F$14:$F$52,RAB!$C$14:$C$52,C1169)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SUMIFS(RAB!$F$14:$F$52,RAB!$C$14:$C$52,C1170)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SUMIFS(RAB!$F$14:$F$52,RAB!$C$14:$C$52,C1171)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SUMIFS(RAB!$F$14:$F$52,RAB!$C$14:$C$52,C1172)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SUMIFS(RAB!$F$14:$F$52,RAB!$C$14:$C$52,C1173)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SUMIFS(RAB!$F$14:$F$52,RAB!$C$14:$C$52,C1174)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SUMIFS(RAB!$F$14:$F$52,RAB!$C$14:$C$52,C1175)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SUMIFS(RAB!$F$14:$F$52,RAB!$C$14:$C$52,C1176)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SUMIFS(RAB!$F$14:$F$52,RAB!$C$14:$C$52,C1177)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SUMIFS(RAB!$F$14:$F$52,RAB!$C$14:$C$52,C1178)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SUMIFS(RAB!$F$14:$F$52,RAB!$C$14:$C$52,C1179)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SUMIFS(RAB!$F$14:$F$52,RAB!$C$14:$C$52,C1180)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SUMIFS(RAB!$F$14:$F$52,RAB!$C$14:$C$52,C1181)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SUMIFS(RAB!$F$14:$F$52,RAB!$C$14:$C$52,C1182)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SUMIFS(RAB!$F$14:$F$52,RAB!$C$14:$C$52,C1183)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SUMIFS(RAB!$F$14:$F$52,RAB!$C$14:$C$52,C1184)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SUMIFS(RAB!$F$14:$F$52,RAB!$C$14:$C$52,C1185)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SUMIFS(RAB!$F$14:$F$52,RAB!$C$14:$C$52,C1186)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SUMIFS(RAB!$F$14:$F$52,RAB!$C$14:$C$52,C1187)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SUMIFS(RAB!$F$14:$F$52,RAB!$C$14:$C$52,C1188)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SUMIFS(RAB!$F$14:$F$52,RAB!$C$14:$C$52,C1189)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SUMIFS(RAB!$F$14:$F$52,RAB!$C$14:$C$52,C1190)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SUMIFS(RAB!$F$14:$F$52,RAB!$C$14:$C$52,C1191)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SUMIFS(RAB!$F$14:$F$52,RAB!$C$14:$C$52,C1192)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SUMIFS(RAB!$F$14:$F$52,RAB!$C$14:$C$52,C1193)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SUMIFS(RAB!$F$14:$F$52,RAB!$C$14:$C$52,C1194)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SUMIFS(RAB!$F$14:$F$52,RAB!$C$14:$C$52,C1195)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SUMIFS(RAB!$F$14:$F$52,RAB!$C$14:$C$52,C1196)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SUMIFS(RAB!$F$14:$F$52,RAB!$C$14:$C$52,C1197)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SUMIFS(RAB!$F$14:$F$52,RAB!$C$14:$C$52,C1198)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SUMIFS(RAB!$F$14:$F$52,RAB!$C$14:$C$52,C1199)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SUMIFS(RAB!$F$14:$F$52,RAB!$C$14:$C$52,C1200)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SUMIFS(RAB!$F$14:$F$52,RAB!$C$14:$C$52,C1201)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SUMIFS(RAB!$F$14:$F$52,RAB!$C$14:$C$52,C1202)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SUMIFS(RAB!$F$14:$F$52,RAB!$C$14:$C$52,C1203)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SUMIFS(RAB!$F$14:$F$52,RAB!$C$14:$C$52,C1204)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SUMIFS(RAB!$F$14:$F$52,RAB!$C$14:$C$52,C1205)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SUMIFS(RAB!$F$14:$F$52,RAB!$C$14:$C$52,C1206)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SUMIFS(RAB!$F$14:$F$52,RAB!$C$14:$C$52,C1207)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SUMIFS(RAB!$F$14:$F$52,RAB!$C$14:$C$52,C1208)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SUMIFS(RAB!$F$14:$F$52,RAB!$C$14:$C$52,C1209)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SUMIFS(RAB!$F$14:$F$52,RAB!$C$14:$C$52,C1210)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SUMIFS(RAB!$F$14:$F$52,RAB!$C$14:$C$52,C1211)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SUMIFS(RAB!$F$14:$F$52,RAB!$C$14:$C$52,C1212)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SUMIFS(RAB!$F$14:$F$52,RAB!$C$14:$C$52,C1213)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SUMIFS(RAB!$F$14:$F$52,RAB!$C$14:$C$52,C1214)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SUMIFS(RAB!$F$14:$F$52,RAB!$C$14:$C$52,C1215)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SUMIFS(RAB!$F$14:$F$52,RAB!$C$14:$C$52,C1216)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SUMIFS(RAB!$F$14:$F$52,RAB!$C$14:$C$52,C1217)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SUMIFS(RAB!$F$14:$F$52,RAB!$C$14:$C$52,C1218)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SUMIFS(RAB!$F$14:$F$52,RAB!$C$14:$C$52,C1219)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SUMIFS(RAB!$F$14:$F$52,RAB!$C$14:$C$52,C1220)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SUMIFS(RAB!$F$14:$F$52,RAB!$C$14:$C$52,C1221)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SUMIFS(RAB!$F$14:$F$52,RAB!$C$14:$C$52,C1222)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SUMIFS(RAB!$F$14:$F$52,RAB!$C$14:$C$52,C1223)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SUMIFS(RAB!$F$14:$F$52,RAB!$C$14:$C$52,C1224)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SUMIFS(RAB!$F$14:$F$52,RAB!$C$14:$C$52,C1225)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SUMIFS(RAB!$F$14:$F$52,RAB!$C$14:$C$52,C1226)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SUMIFS(RAB!$F$14:$F$52,RAB!$C$14:$C$52,C1227)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SUMIFS(RAB!$F$14:$F$52,RAB!$C$14:$C$52,C1228)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SUMIFS(RAB!$F$14:$F$52,RAB!$C$14:$C$52,C1229)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SUMIFS(RAB!$F$14:$F$52,RAB!$C$14:$C$52,C1230)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SUMIFS(RAB!$F$14:$F$52,RAB!$C$14:$C$52,C1231)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SUMIFS(RAB!$F$14:$F$52,RAB!$C$14:$C$52,C1232)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SUMIFS(RAB!$F$14:$F$52,RAB!$C$14:$C$52,C1233)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SUMIFS(RAB!$F$14:$F$52,RAB!$C$14:$C$52,C1234)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SUMIFS(RAB!$F$14:$F$52,RAB!$C$14:$C$52,C1235)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SUMIFS(RAB!$F$14:$F$52,RAB!$C$14:$C$52,C1236)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SUMIFS(RAB!$F$14:$F$52,RAB!$C$14:$C$52,C1237)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SUMIFS(RAB!$F$14:$F$52,RAB!$C$14:$C$52,C1238)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SUMIFS(RAB!$F$14:$F$52,RAB!$C$14:$C$52,C1239)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SUMIFS(RAB!$F$14:$F$52,RAB!$C$14:$C$52,C1240)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SUMIFS(RAB!$F$14:$F$52,RAB!$C$14:$C$52,C1241)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SUMIFS(RAB!$F$14:$F$52,RAB!$C$14:$C$52,C1242)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SUMIFS(RAB!$F$14:$F$52,RAB!$C$14:$C$52,C1243)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SUMIFS(RAB!$F$14:$F$52,RAB!$C$14:$C$52,C1244)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SUMIFS(RAB!$F$14:$F$52,RAB!$C$14:$C$52,C1245)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SUMIFS(RAB!$F$14:$F$52,RAB!$C$14:$C$52,C1246)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SUMIFS(RAB!$F$14:$F$52,RAB!$C$14:$C$52,C1247)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SUMIFS(RAB!$F$14:$F$52,RAB!$C$14:$C$52,C1248)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SUMIFS(RAB!$F$14:$F$52,RAB!$C$14:$C$52,C1249)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SUMIFS(RAB!$F$14:$F$52,RAB!$C$14:$C$52,C1250)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SUMIFS(RAB!$F$14:$F$52,RAB!$C$14:$C$52,C1251)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SUMIFS(RAB!$F$14:$F$52,RAB!$C$14:$C$52,C1252)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SUMIFS(RAB!$F$14:$F$52,RAB!$C$14:$C$52,C1253)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SUMIFS(RAB!$F$14:$F$52,RAB!$C$14:$C$52,C1254)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SUMIFS(RAB!$F$14:$F$52,RAB!$C$14:$C$52,C1255)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SUMIFS(RAB!$F$14:$F$52,RAB!$C$14:$C$52,C1256)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SUMIFS(RAB!$F$14:$F$52,RAB!$C$14:$C$52,C1257)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SUMIFS(RAB!$F$14:$F$52,RAB!$C$14:$C$52,C1258)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SUMIFS(RAB!$F$14:$F$52,RAB!$C$14:$C$52,C1259)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SUMIFS(RAB!$F$14:$F$52,RAB!$C$14:$C$52,C1260)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SUMIFS(RAB!$F$14:$F$52,RAB!$C$14:$C$52,C1261)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SUMIFS(RAB!$F$14:$F$52,RAB!$C$14:$C$52,C1262)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SUMIFS(RAB!$F$14:$F$52,RAB!$C$14:$C$52,C1263)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SUMIFS(RAB!$F$14:$F$52,RAB!$C$14:$C$52,C1264)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SUMIFS(RAB!$F$14:$F$52,RAB!$C$14:$C$52,C1265)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SUMIFS(RAB!$F$14:$F$52,RAB!$C$14:$C$52,C1266)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SUMIFS(RAB!$F$14:$F$52,RAB!$C$14:$C$52,C1267)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SUMIFS(RAB!$F$14:$F$52,RAB!$C$14:$C$52,C1268)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SUMIFS(RAB!$F$14:$F$52,RAB!$C$14:$C$52,C1269)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SUMIFS(RAB!$F$14:$F$52,RAB!$C$14:$C$52,C1270)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SUMIFS(RAB!$F$14:$F$52,RAB!$C$14:$C$52,C1271)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SUMIFS(RAB!$F$14:$F$52,RAB!$C$14:$C$52,C1272)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SUMIFS(RAB!$F$14:$F$52,RAB!$C$14:$C$52,C1273)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SUMIFS(RAB!$F$14:$F$52,RAB!$C$14:$C$52,C1274)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SUMIFS(RAB!$F$14:$F$52,RAB!$C$14:$C$52,C1275)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SUMIFS(RAB!$F$14:$F$52,RAB!$C$14:$C$52,C1276)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SUMIFS(RAB!$F$14:$F$52,RAB!$C$14:$C$52,C1277)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SUMIFS(RAB!$F$14:$F$52,RAB!$C$14:$C$52,C1278)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SUMIFS(RAB!$F$14:$F$52,RAB!$C$14:$C$52,C1279)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SUMIFS(RAB!$F$14:$F$52,RAB!$C$14:$C$52,C1280)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SUMIFS(RAB!$F$14:$F$52,RAB!$C$14:$C$52,C1281)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SUMIFS(RAB!$F$14:$F$52,RAB!$C$14:$C$52,C1282)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SUMIFS(RAB!$F$14:$F$52,RAB!$C$14:$C$52,C1283)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SUMIFS(RAB!$F$14:$F$52,RAB!$C$14:$C$52,C1284)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SUMIFS(RAB!$F$14:$F$52,RAB!$C$14:$C$52,C1285)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SUMIFS(RAB!$F$14:$F$52,RAB!$C$14:$C$52,C1286)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SUMIFS(RAB!$F$14:$F$52,RAB!$C$14:$C$52,C1287)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SUMIFS(RAB!$F$14:$F$52,RAB!$C$14:$C$52,C1288)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SUMIFS(RAB!$F$14:$F$52,RAB!$C$14:$C$52,C1289)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SUMIFS(RAB!$F$14:$F$52,RAB!$C$14:$C$52,C1290)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SUMIFS(RAB!$F$14:$F$52,RAB!$C$14:$C$52,C1291)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SUMIFS(RAB!$F$14:$F$52,RAB!$C$14:$C$52,C1292)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SUMIFS(RAB!$F$14:$F$52,RAB!$C$14:$C$52,C1293)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SUMIFS(RAB!$F$14:$F$52,RAB!$C$14:$C$52,C1294)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SUMIFS(RAB!$F$14:$F$52,RAB!$C$14:$C$52,C1295)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SUMIFS(RAB!$F$14:$F$52,RAB!$C$14:$C$52,C1296)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SUMIFS(RAB!$F$14:$F$52,RAB!$C$14:$C$52,C1297)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SUMIFS(RAB!$F$14:$F$52,RAB!$C$14:$C$52,C1298)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SUMIFS(RAB!$F$14:$F$52,RAB!$C$14:$C$52,C1299)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SUMIFS(RAB!$F$14:$F$52,RAB!$C$14:$C$52,C1300)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SUMIFS(RAB!$F$14:$F$52,RAB!$C$14:$C$52,C1301)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SUMIFS(RAB!$F$14:$F$52,RAB!$C$14:$C$52,C1302)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SUMIFS(RAB!$F$14:$F$52,RAB!$C$14:$C$52,C1303)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SUMIFS(RAB!$F$14:$F$52,RAB!$C$14:$C$52,C1304)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SUMIFS(RAB!$F$14:$F$52,RAB!$C$14:$C$52,C1305)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SUMIFS(RAB!$F$14:$F$52,RAB!$C$14:$C$52,C1306)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SUMIFS(RAB!$F$14:$F$52,RAB!$C$14:$C$52,C1307)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SUMIFS(RAB!$F$14:$F$52,RAB!$C$14:$C$52,C1308)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SUMIFS(RAB!$F$14:$F$52,RAB!$C$14:$C$52,C1309)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SUMIFS(RAB!$F$14:$F$52,RAB!$C$14:$C$52,C1310)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SUMIFS(RAB!$F$14:$F$52,RAB!$C$14:$C$52,C1311)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SUMIFS(RAB!$F$14:$F$52,RAB!$C$14:$C$52,C1312)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SUMIFS(RAB!$F$14:$F$52,RAB!$C$14:$C$52,C1313)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SUMIFS(RAB!$F$14:$F$52,RAB!$C$14:$C$52,C1314)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SUMIFS(RAB!$F$14:$F$52,RAB!$C$14:$C$52,C1315)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SUMIFS(RAB!$F$14:$F$52,RAB!$C$14:$C$52,C1316)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SUMIFS(RAB!$F$14:$F$52,RAB!$C$14:$C$52,C1317)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SUMIFS(RAB!$F$14:$F$52,RAB!$C$14:$C$52,C1318)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SUMIFS(RAB!$F$14:$F$52,RAB!$C$14:$C$52,C1319)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SUMIFS(RAB!$F$14:$F$52,RAB!$C$14:$C$52,C1320)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5" priority="5" operator="equal">
      <formula>0</formula>
    </cfRule>
  </conditionalFormatting>
  <conditionalFormatting sqref="A10:L65536">
    <cfRule type="cellIs" dxfId="54" priority="1" operator="equal">
      <formula>0</formula>
    </cfRule>
  </conditionalFormatting>
  <conditionalFormatting sqref="C12:C711">
    <cfRule type="cellIs" dxfId="53" priority="66" stopIfTrue="1" operator="equal">
      <formula>0</formula>
    </cfRule>
  </conditionalFormatting>
  <conditionalFormatting sqref="E712:E65536">
    <cfRule type="cellIs" dxfId="52" priority="16" stopIfTrue="1" operator="equal">
      <formula>0</formula>
    </cfRule>
  </conditionalFormatting>
  <conditionalFormatting sqref="G1:G11 E6:E11 E1:E3 H7 H10:H11 F10:F711 G712:G65536">
    <cfRule type="cellIs" dxfId="51" priority="69" stopIfTrue="1" operator="equal">
      <formula>0</formula>
    </cfRule>
  </conditionalFormatting>
  <conditionalFormatting sqref="G12:H711">
    <cfRule type="cellIs" dxfId="50" priority="12" stopIfTrue="1" operator="equal">
      <formula>0</formula>
    </cfRule>
  </conditionalFormatting>
  <conditionalFormatting sqref="I7:K7">
    <cfRule type="cellIs" dxfId="49" priority="4" stopIfTrue="1" operator="equal">
      <formula>0</formula>
    </cfRule>
  </conditionalFormatting>
  <conditionalFormatting sqref="I10:L711">
    <cfRule type="cellIs" dxfId="48" priority="2" stopIfTrue="1" operator="equal">
      <formula>0</formula>
    </cfRule>
  </conditionalFormatting>
  <conditionalFormatting sqref="L1:L6">
    <cfRule type="cellIs" dxfId="47" priority="10" operator="equal">
      <formula>0</formula>
    </cfRule>
  </conditionalFormatting>
  <conditionalFormatting sqref="M1:IV1048576 A8:G9">
    <cfRule type="cellIs" dxfId="4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86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1127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KARYONO BAKSO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KOMPLEK PASAR KUWU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6765200</v>
      </c>
      <c r="J16" s="42">
        <f t="shared" ca="1" si="3"/>
        <v>0</v>
      </c>
      <c r="K16" s="43">
        <f t="shared" ca="1" si="0"/>
        <v>6765200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9" t="s">
        <v>1008</v>
      </c>
      <c r="D38" s="539"/>
      <c r="E38" s="539"/>
      <c r="F38" s="539"/>
      <c r="G38" s="77" t="s">
        <v>9</v>
      </c>
      <c r="H38" s="55">
        <f ca="1">SUM(H14:H37)</f>
        <v>0</v>
      </c>
      <c r="I38" s="55">
        <f ca="1">SUM(I14:I37)</f>
        <v>6765200</v>
      </c>
      <c r="J38" s="55">
        <f ca="1">SUM(J14:J37)</f>
        <v>0</v>
      </c>
      <c r="K38" s="55">
        <f ca="1">SUM(K14:K37)</f>
        <v>6765200</v>
      </c>
      <c r="L38" s="44"/>
      <c r="R38" s="99"/>
      <c r="S38" s="99"/>
      <c r="T38" s="99"/>
    </row>
    <row r="39" spans="1:20" s="36" customFormat="1">
      <c r="A39" s="30"/>
      <c r="B39" s="56"/>
      <c r="C39" s="540" t="s">
        <v>462</v>
      </c>
      <c r="D39" s="540"/>
      <c r="E39" s="540"/>
      <c r="F39" s="540"/>
      <c r="G39" s="59" t="s">
        <v>9</v>
      </c>
      <c r="H39" s="60">
        <f ca="1">H38*0.1</f>
        <v>0</v>
      </c>
      <c r="I39" s="60">
        <f ca="1">I38*0.1</f>
        <v>676520</v>
      </c>
      <c r="J39" s="60">
        <f ca="1">J38*0.1</f>
        <v>0</v>
      </c>
      <c r="K39" s="60">
        <f ca="1">K38*0.1</f>
        <v>676520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9" t="s">
        <v>463</v>
      </c>
      <c r="D40" s="529"/>
      <c r="E40" s="529"/>
      <c r="F40" s="529"/>
      <c r="G40" s="61" t="s">
        <v>9</v>
      </c>
      <c r="H40" s="78">
        <f ca="1">SUM(H38:H39)</f>
        <v>0</v>
      </c>
      <c r="I40" s="78">
        <f ca="1">SUM(I38:I39)</f>
        <v>7441720</v>
      </c>
      <c r="J40" s="61">
        <f ca="1">SUM(J38:J39)</f>
        <v>0</v>
      </c>
      <c r="K40" s="61">
        <f ca="1">SUM(K38:K39)</f>
        <v>7441720</v>
      </c>
      <c r="L40" s="44"/>
      <c r="R40" s="99"/>
      <c r="S40" s="99"/>
      <c r="T40" s="99"/>
    </row>
    <row r="41" spans="1:20" s="36" customFormat="1">
      <c r="A41" s="30"/>
      <c r="B41" s="532" t="e">
        <f ca="1">"Terbilang : ( "&amp;L42&amp;" Rupiah )"</f>
        <v>#NAME?</v>
      </c>
      <c r="C41" s="533"/>
      <c r="D41" s="533"/>
      <c r="E41" s="533"/>
      <c r="F41" s="533"/>
      <c r="G41" s="533"/>
      <c r="H41" s="533"/>
      <c r="I41" s="533"/>
      <c r="J41" s="533"/>
      <c r="K41" s="534"/>
      <c r="L41" s="44"/>
      <c r="R41" s="58"/>
      <c r="S41" s="58"/>
      <c r="T41" s="58"/>
    </row>
    <row r="42" spans="1:20" s="36" customFormat="1">
      <c r="A42" s="30"/>
      <c r="B42" s="535"/>
      <c r="C42" s="536"/>
      <c r="D42" s="536"/>
      <c r="E42" s="536"/>
      <c r="F42" s="536"/>
      <c r="G42" s="536"/>
      <c r="H42" s="536"/>
      <c r="I42" s="536"/>
      <c r="J42" s="536"/>
      <c r="K42" s="537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0"/>
      <c r="I45" s="530"/>
      <c r="J45" s="531"/>
      <c r="K45" s="53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0"/>
      <c r="I46" s="530"/>
      <c r="J46" s="531"/>
      <c r="K46" s="53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0"/>
      <c r="I47" s="530"/>
      <c r="J47" s="531"/>
      <c r="K47" s="53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0"/>
      <c r="I52" s="530"/>
      <c r="J52" s="531"/>
      <c r="K52" s="53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SUMIFS(RAB!$F$14:$F$52,RAB!$C$14:$C$52,'REKAP TIANG'!C57)</f>
        <v>2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SUMIFS(RAB!$F$14:$F$52,RAB!$C$14:$C$52,'REKAP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SUMIFS(RAB!$F$14:$F$52,RAB!$C$14:$C$52,'REKAP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SUMIFS(RAB!$F$14:$F$52,RAB!$C$14:$C$52,'REKAP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SUMIFS(RAB!$F$14:$F$52,RAB!$C$14:$C$52,'REKAP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SUMIFS(RAB!$F$14:$F$52,RAB!$C$14:$C$52,'REKAP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SUMIFS(RAB!$F$14:$F$52,RAB!$C$14:$C$52,'REKAP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SUMIFS(RAB!$F$14:$F$52,RAB!$C$14:$C$52,'REKAP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SUMIFS(RAB!$F$14:$F$52,RAB!$C$14:$C$52,'REKAP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SUMIFS(RAB!$F$14:$F$52,RAB!$C$14:$C$52,'REKAP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SUMIFS(RAB!$F$14:$F$52,RAB!$C$14:$C$52,'REKAP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SUMIFS(RAB!$F$14:$F$52,RAB!$C$14:$C$52,'REKAP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SUMIFS(RAB!$F$14:$F$52,RAB!$C$14:$C$52,'REKAP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SUMIFS(RAB!$F$14:$F$52,RAB!$C$14:$C$52,'REKAP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SUMIFS(RAB!$F$14:$F$52,RAB!$C$14:$C$52,'REKAP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SUMIFS(RAB!$F$14:$F$52,RAB!$C$14:$C$52,'REKAP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SUMIFS(RAB!$F$14:$F$52,RAB!$C$14:$C$52,'REKAP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SUMIFS(RAB!$F$14:$F$52,RAB!$C$14:$C$52,'REKAP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SUMIFS(RAB!$F$14:$F$52,RAB!$C$14:$C$52,'REKAP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SUMIFS(RAB!$F$14:$F$52,RAB!$C$14:$C$52,'REKAP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1034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KARYONO BAKSO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KOMPLEK PASAR KUWU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13.2 kVA MCCB 20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110</v>
      </c>
      <c r="G18" s="41">
        <f ca="1">IF(ISERROR(OFFSET('HARGA SATUAN'!$I$6,MATCH(C18,'HARGA SATUAN'!$C$7:$C$1492,0),0)),"",OFFSET('HARGA SATUAN'!$I$6,MATCH(C18,'HARGA SATUAN'!$C$7:$C$1492,0),0))</f>
        <v>54500</v>
      </c>
      <c r="H18" s="42">
        <f t="shared" ca="1" si="1"/>
        <v>5995000</v>
      </c>
      <c r="I18" s="42">
        <f t="shared" ca="1" si="2"/>
        <v>0</v>
      </c>
      <c r="J18" s="42">
        <f t="shared" ca="1" si="3"/>
        <v>0</v>
      </c>
      <c r="K18" s="43">
        <f t="shared" ca="1" si="0"/>
        <v>5995000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4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35</v>
      </c>
      <c r="G19" s="41">
        <f ca="1">IF(ISERROR(OFFSET('HARGA SATUAN'!$I$6,MATCH(C19,'HARGA SATUAN'!$C$7:$C$1492,0),0)),"",OFFSET('HARGA SATUAN'!$I$6,MATCH(C19,'HARGA SATUAN'!$C$7:$C$1492,0),0))</f>
        <v>13500</v>
      </c>
      <c r="H19" s="42">
        <f t="shared" ca="1" si="1"/>
        <v>472500</v>
      </c>
      <c r="I19" s="42">
        <f t="shared" ca="1" si="2"/>
        <v>0</v>
      </c>
      <c r="J19" s="42">
        <f t="shared" ca="1" si="3"/>
        <v>0</v>
      </c>
      <c r="K19" s="43">
        <f t="shared" ca="1" si="0"/>
        <v>472500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9" t="s">
        <v>1008</v>
      </c>
      <c r="D168" s="539"/>
      <c r="E168" s="539"/>
      <c r="F168" s="539"/>
      <c r="G168" s="77" t="s">
        <v>9</v>
      </c>
      <c r="H168" s="55">
        <f ca="1">SUM(H14:H167)</f>
        <v>11459800</v>
      </c>
      <c r="I168" s="55">
        <f ca="1">SUM(I14:I167)</f>
        <v>0</v>
      </c>
      <c r="J168" s="55">
        <f ca="1">SUM(J14:J167)</f>
        <v>0</v>
      </c>
      <c r="K168" s="55">
        <f ca="1">SUM(K14:K167)</f>
        <v>11459800</v>
      </c>
      <c r="L168" s="44"/>
      <c r="R168" s="99"/>
      <c r="S168" s="99"/>
      <c r="T168" s="99"/>
    </row>
    <row r="169" spans="1:20" s="36" customFormat="1">
      <c r="A169" s="30"/>
      <c r="B169" s="56"/>
      <c r="C169" s="540" t="s">
        <v>462</v>
      </c>
      <c r="D169" s="540"/>
      <c r="E169" s="540"/>
      <c r="F169" s="540"/>
      <c r="G169" s="59" t="s">
        <v>9</v>
      </c>
      <c r="H169" s="60">
        <f ca="1">H168*0.1</f>
        <v>1145980</v>
      </c>
      <c r="I169" s="60">
        <f ca="1">I168*0.1</f>
        <v>0</v>
      </c>
      <c r="J169" s="60">
        <f ca="1">J168*0.1</f>
        <v>0</v>
      </c>
      <c r="K169" s="60">
        <f ca="1">K168*0.1</f>
        <v>1145980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9" t="s">
        <v>463</v>
      </c>
      <c r="D170" s="529"/>
      <c r="E170" s="529"/>
      <c r="F170" s="529"/>
      <c r="G170" s="61" t="s">
        <v>9</v>
      </c>
      <c r="H170" s="78">
        <f ca="1">SUM(H168:H169)</f>
        <v>12605780</v>
      </c>
      <c r="I170" s="78">
        <f ca="1">SUM(I168:I169)</f>
        <v>0</v>
      </c>
      <c r="J170" s="61">
        <f ca="1">SUM(J168:J169)</f>
        <v>0</v>
      </c>
      <c r="K170" s="61">
        <f ca="1">SUM(K168:K169)</f>
        <v>12605780</v>
      </c>
      <c r="L170" s="44"/>
      <c r="R170" s="99"/>
      <c r="S170" s="99"/>
      <c r="T170" s="99"/>
    </row>
    <row r="171" spans="1:20" s="36" customFormat="1">
      <c r="A171" s="30"/>
      <c r="B171" s="532" t="e">
        <f ca="1">"Terbilang : ( "&amp;L172&amp;" Rupiah )"</f>
        <v>#NAME?</v>
      </c>
      <c r="C171" s="533"/>
      <c r="D171" s="533"/>
      <c r="E171" s="533"/>
      <c r="F171" s="533"/>
      <c r="G171" s="533"/>
      <c r="H171" s="533"/>
      <c r="I171" s="533"/>
      <c r="J171" s="533"/>
      <c r="K171" s="534"/>
      <c r="L171" s="44"/>
      <c r="R171" s="58"/>
      <c r="S171" s="58"/>
      <c r="T171" s="58"/>
    </row>
    <row r="172" spans="1:20" s="36" customFormat="1">
      <c r="A172" s="30"/>
      <c r="B172" s="535"/>
      <c r="C172" s="536"/>
      <c r="D172" s="536"/>
      <c r="E172" s="536"/>
      <c r="F172" s="536"/>
      <c r="G172" s="536"/>
      <c r="H172" s="536"/>
      <c r="I172" s="536"/>
      <c r="J172" s="536"/>
      <c r="K172" s="537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0"/>
      <c r="I175" s="530"/>
      <c r="J175" s="531"/>
      <c r="K175" s="53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0"/>
      <c r="I176" s="530"/>
      <c r="J176" s="531"/>
      <c r="K176" s="53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0"/>
      <c r="I177" s="530"/>
      <c r="J177" s="531"/>
      <c r="K177" s="53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0"/>
      <c r="I182" s="530"/>
      <c r="J182" s="531"/>
      <c r="K182" s="53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SUMIFS(RAB!$F$14:$F$52,RAB!$C$14:$C$52,C224)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SUMIFS(RAB!$F$14:$F$52,RAB!$C$14:$C$52,C225)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SUMIFS(RAB!$F$14:$F$52,RAB!$C$14:$C$52,C226)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SUMIFS(RAB!$F$14:$F$52,RAB!$C$14:$C$52,C227)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SUMIFS(RAB!$F$14:$F$52,RAB!$C$14:$C$52,C228)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SUMIFS(RAB!$F$14:$F$52,RAB!$C$14:$C$52,C229)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SUMIFS(RAB!$F$14:$F$52,RAB!$C$14:$C$52,C230)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SUMIFS(RAB!$F$14:$F$52,RAB!$C$14:$C$52,C231)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SUMIFS(RAB!$F$14:$F$52,RAB!$C$14:$C$52,C232)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SUMIFS(RAB!$F$14:$F$52,RAB!$C$14:$C$52,C233)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SUMIFS(RAB!$F$14:$F$52,RAB!$C$14:$C$52,C234)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SUMIFS(RAB!$F$14:$F$52,RAB!$C$14:$C$52,C235)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SUMIFS(RAB!$F$14:$F$52,RAB!$C$14:$C$52,C236)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SUMIFS(RAB!$F$14:$F$52,RAB!$C$14:$C$52,C237)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SUMIFS(RAB!$F$14:$F$52,RAB!$C$14:$C$52,C238)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SUMIFS(RAB!$F$14:$F$52,RAB!$C$14:$C$52,C239)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SUMIFS(RAB!$F$14:$F$52,RAB!$C$14:$C$52,C240)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SUMIFS(RAB!$F$14:$F$52,RAB!$C$14:$C$52,C241)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SUMIFS(RAB!$F$14:$F$52,RAB!$C$14:$C$52,C242)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SUMIFS(RAB!$F$14:$F$52,RAB!$C$14:$C$52,C243)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SUMIFS(RAB!$F$14:$F$52,RAB!$C$14:$C$52,C244)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SUMIFS(RAB!$F$14:$F$52,RAB!$C$14:$C$52,C245)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SUMIFS(RAB!$F$14:$F$52,RAB!$C$14:$C$52,C246)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SUMIFS(RAB!$F$14:$F$52,RAB!$C$14:$C$52,C247)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SUMIFS(RAB!$F$14:$F$52,RAB!$C$14:$C$52,C248)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SUMIFS(RAB!$F$14:$F$52,RAB!$C$14:$C$52,C249)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SUMIFS(RAB!$F$14:$F$52,RAB!$C$14:$C$52,C250)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SUMIFS(RAB!$F$14:$F$52,RAB!$C$14:$C$52,C251)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SUMIFS(RAB!$F$14:$F$52,RAB!$C$14:$C$52,C252)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SUMIFS(RAB!$F$14:$F$52,RAB!$C$14:$C$52,C253)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SUMIFS(RAB!$F$14:$F$52,RAB!$C$14:$C$52,C254)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SUMIFS(RAB!$F$14:$F$52,RAB!$C$14:$C$52,C255)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SUMIFS(RAB!$F$14:$F$52,RAB!$C$14:$C$52,C256)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SUMIFS(RAB!$F$14:$F$52,RAB!$C$14:$C$52,C257)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SUMIFS(RAB!$F$14:$F$52,RAB!$C$14:$C$52,C258)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SUMIFS(RAB!$F$14:$F$52,RAB!$C$14:$C$52,C259)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SUMIFS(RAB!$F$14:$F$52,RAB!$C$14:$C$52,C260)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SUMIFS(RAB!$F$14:$F$52,RAB!$C$14:$C$52,C261)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SUMIFS(RAB!$F$14:$F$52,RAB!$C$14:$C$52,C262)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SUMIFS(RAB!$F$14:$F$52,RAB!$C$14:$C$52,C263)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SUMIFS(RAB!$F$14:$F$52,RAB!$C$14:$C$52,C264)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SUMIFS(RAB!$F$14:$F$52,RAB!$C$14:$C$52,C265)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SUMIFS(RAB!$F$14:$F$52,RAB!$C$14:$C$52,C266)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SUMIFS(RAB!$F$14:$F$52,RAB!$C$14:$C$52,C267)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SUMIFS(RAB!$F$14:$F$52,RAB!$C$14:$C$52,C268)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SUMIFS(RAB!$F$14:$F$52,RAB!$C$14:$C$52,C269)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SUMIFS(RAB!$F$14:$F$52,RAB!$C$14:$C$52,C270)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SUMIFS(RAB!$F$14:$F$52,RAB!$C$14:$C$52,C271)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SUMIFS(RAB!$F$14:$F$52,RAB!$C$14:$C$52,C272)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SUMIFS(RAB!$F$14:$F$52,RAB!$C$14:$C$52,C273)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SUMIFS(RAB!$F$14:$F$52,RAB!$C$14:$C$52,C274)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SUMIFS(RAB!$F$14:$F$52,RAB!$C$14:$C$52,C275)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SUMIFS(RAB!$F$14:$F$52,RAB!$C$14:$C$52,C276)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SUMIFS(RAB!$F$14:$F$52,RAB!$C$14:$C$52,C277)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SUMIFS(RAB!$F$14:$F$52,RAB!$C$14:$C$52,C278)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SUMIFS(RAB!$F$14:$F$52,RAB!$C$14:$C$52,C279)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SUMIFS(RAB!$F$14:$F$52,RAB!$C$14:$C$52,C280)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SUMIFS(RAB!$F$14:$F$52,RAB!$C$14:$C$52,C281)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SUMIFS(RAB!$F$14:$F$52,RAB!$C$14:$C$52,C282)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SUMIFS(RAB!$F$14:$F$52,RAB!$C$14:$C$52,C283)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SUMIFS(RAB!$F$14:$F$52,RAB!$C$14:$C$52,C284)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SUMIFS(RAB!$F$14:$F$52,RAB!$C$14:$C$52,C285)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SUMIFS(RAB!$F$14:$F$52,RAB!$C$14:$C$52,C286)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SUMIFS(RAB!$F$14:$F$52,RAB!$C$14:$C$52,C287)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SUMIFS(RAB!$F$14:$F$52,RAB!$C$14:$C$52,C288)</f>
        <v>1</v>
      </c>
      <c r="E288" s="24">
        <f t="shared" ca="1" si="21"/>
        <v>1</v>
      </c>
      <c r="F288" s="24">
        <f ca="1">IF(D288=0,0,SUM($E$223:E288))</f>
        <v>2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SUMIFS(RAB!$F$14:$F$52,RAB!$C$14:$C$52,C289)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SUMIFS(RAB!$F$14:$F$52,RAB!$C$14:$C$52,C290)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SUMIFS(RAB!$F$14:$F$52,RAB!$C$14:$C$52,C291)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SUMIFS(RAB!$F$14:$F$52,RAB!$C$14:$C$52,C292)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SUMIFS(RAB!$F$14:$F$52,RAB!$C$14:$C$52,C293)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SUMIFS(RAB!$F$14:$F$52,RAB!$C$14:$C$52,C294)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SUMIFS(RAB!$F$14:$F$52,RAB!$C$14:$C$52,C295)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SUMIFS(RAB!$F$14:$F$52,RAB!$C$14:$C$52,C296)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SUMIFS(RAB!$F$14:$F$52,RAB!$C$14:$C$52,C297)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SUMIFS(RAB!$F$14:$F$52,RAB!$C$14:$C$52,C298)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SUMIFS(RAB!$F$14:$F$52,RAB!$C$14:$C$52,C299)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SUMIFS(RAB!$F$14:$F$52,RAB!$C$14:$C$52,C300)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SUMIFS(RAB!$F$14:$F$52,RAB!$C$14:$C$52,C301)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SUMIFS(RAB!$F$14:$F$52,RAB!$C$14:$C$52,C302)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SUMIFS(RAB!$F$14:$F$52,RAB!$C$14:$C$52,C303)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SUMIFS(RAB!$F$14:$F$52,RAB!$C$14:$C$52,C304)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SUMIFS(RAB!$F$14:$F$52,RAB!$C$14:$C$52,C305)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SUMIFS(RAB!$F$14:$F$52,RAB!$C$14:$C$52,C306)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SUMIFS(RAB!$F$14:$F$52,RAB!$C$14:$C$52,C307)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SUMIFS(RAB!$F$14:$F$52,RAB!$C$14:$C$52,C308)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SUMIFS(RAB!$F$14:$F$52,RAB!$C$14:$C$52,C309)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SUMIFS(RAB!$F$14:$F$52,RAB!$C$14:$C$52,C310)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SUMIFS(RAB!$F$14:$F$52,RAB!$C$14:$C$52,C311)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SUMIFS(RAB!$F$14:$F$52,RAB!$C$14:$C$52,C312)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SUMIFS(RAB!$F$14:$F$52,RAB!$C$14:$C$52,C313)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SUMIFS(RAB!$F$14:$F$52,RAB!$C$14:$C$52,C314)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SUMIFS(RAB!$F$14:$F$52,RAB!$C$14:$C$52,C315)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SUMIFS(RAB!$F$14:$F$52,RAB!$C$14:$C$52,C316)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SUMIFS(RAB!$F$14:$F$52,RAB!$C$14:$C$52,C317)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SUMIFS(RAB!$F$14:$F$52,RAB!$C$14:$C$52,C318)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SUMIFS(RAB!$F$14:$F$52,RAB!$C$14:$C$52,C319)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SUMIFS(RAB!$F$14:$F$52,RAB!$C$14:$C$52,C320)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SUMIFS(RAB!$F$14:$F$52,RAB!$C$14:$C$52,C321)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SUMIFS(RAB!$F$14:$F$52,RAB!$C$14:$C$52,C322)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SUMIFS(RAB!$F$14:$F$52,RAB!$C$14:$C$52,C323)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SUMIFS(RAB!$F$14:$F$52,RAB!$C$14:$C$52,C324)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SUMIFS(RAB!$F$14:$F$52,RAB!$C$14:$C$52,C325)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SUMIFS(RAB!$F$14:$F$52,RAB!$C$14:$C$52,C326)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SUMIFS(RAB!$F$14:$F$52,RAB!$C$14:$C$52,C327)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SUMIFS(RAB!$F$14:$F$52,RAB!$C$14:$C$52,C328)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SUMIFS(RAB!$F$14:$F$52,RAB!$C$14:$C$52,C329)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SUMIFS(RAB!$F$14:$F$52,RAB!$C$14:$C$52,C330)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SUMIFS(RAB!$F$14:$F$52,RAB!$C$14:$C$52,C331)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SUMIFS(RAB!$F$14:$F$52,RAB!$C$14:$C$52,C332)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SUMIFS(RAB!$F$14:$F$52,RAB!$C$14:$C$52,C333)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SUMIFS(RAB!$F$14:$F$52,RAB!$C$14:$C$52,C334)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SUMIFS(RAB!$F$14:$F$52,RAB!$C$14:$C$52,C335)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SUMIFS(RAB!$F$14:$F$52,RAB!$C$14:$C$52,C336)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SUMIFS(RAB!$F$14:$F$52,RAB!$C$14:$C$52,C337)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SUMIFS(RAB!$F$14:$F$52,RAB!$C$14:$C$52,C338)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SUMIFS(RAB!$F$14:$F$52,RAB!$C$14:$C$52,C339)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SUMIFS(RAB!$F$14:$F$52,RAB!$C$14:$C$52,C340)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SUMIFS(RAB!$F$14:$F$52,RAB!$C$14:$C$52,C341)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SUMIFS(RAB!$F$14:$F$52,RAB!$C$14:$C$52,C342)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SUMIFS(RAB!$F$14:$F$52,RAB!$C$14:$C$52,C343)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SUMIFS(RAB!$F$14:$F$52,RAB!$C$14:$C$52,C344)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SUMIFS(RAB!$F$14:$F$52,RAB!$C$14:$C$52,C345)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SUMIFS(RAB!$F$14:$F$52,RAB!$C$14:$C$52,C346)</f>
        <v>110</v>
      </c>
      <c r="E346" s="24">
        <f t="shared" ca="1" si="22"/>
        <v>1</v>
      </c>
      <c r="F346" s="24">
        <f ca="1">IF(D346=0,0,SUM($E$223:E346))</f>
        <v>3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SUMIFS(RAB!$F$14:$F$52,RAB!$C$14:$C$52,C347)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SUMIFS(RAB!$F$14:$F$52,RAB!$C$14:$C$52,C348)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SUMIFS(RAB!$F$14:$F$52,RAB!$C$14:$C$52,C349)</f>
        <v>35</v>
      </c>
      <c r="E349" s="24">
        <f t="shared" ca="1" si="22"/>
        <v>1</v>
      </c>
      <c r="F349" s="24">
        <f ca="1">IF(D349=0,0,SUM($E$223:E349))</f>
        <v>4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SUMIFS(RAB!$F$14:$F$52,RAB!$C$14:$C$52,C350)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SUMIFS(RAB!$F$14:$F$52,RAB!$C$14:$C$52,C351)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SUMIFS(RAB!$F$14:$F$52,RAB!$C$14:$C$52,C352)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SUMIFS(RAB!$F$14:$F$52,RAB!$C$14:$C$52,C353)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SUMIFS(RAB!$F$14:$F$52,RAB!$C$14:$C$52,C354)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SUMIFS(RAB!$F$14:$F$52,RAB!$C$14:$C$52,C355)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SUMIFS(RAB!$F$14:$F$52,RAB!$C$14:$C$52,C356)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SUMIFS(RAB!$F$14:$F$52,RAB!$C$14:$C$52,C357)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SUMIFS(RAB!$F$14:$F$52,RAB!$C$14:$C$52,C358)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SUMIFS(RAB!$F$14:$F$52,RAB!$C$14:$C$52,C359)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SUMIFS(RAB!$F$14:$F$52,RAB!$C$14:$C$52,C360)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SUMIFS(RAB!$F$14:$F$52,RAB!$C$14:$C$52,C361)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SUMIFS(RAB!$F$14:$F$52,RAB!$C$14:$C$52,C362)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SUMIFS(RAB!$F$14:$F$52,RAB!$C$14:$C$52,C363)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SUMIFS(RAB!$F$14:$F$52,RAB!$C$14:$C$52,C364)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SUMIFS(RAB!$F$14:$F$52,RAB!$C$14:$C$52,C365)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SUMIFS(RAB!$F$14:$F$52,RAB!$C$14:$C$52,C366)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SUMIFS(RAB!$F$14:$F$52,RAB!$C$14:$C$52,C367)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SUMIFS(RAB!$F$14:$F$52,RAB!$C$14:$C$52,C368)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SUMIFS(RAB!$F$14:$F$52,RAB!$C$14:$C$52,C369)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SUMIFS(RAB!$F$14:$F$52,RAB!$C$14:$C$52,C370)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SUMIFS(RAB!$F$14:$F$52,RAB!$C$14:$C$52,C371)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SUMIFS(RAB!$F$14:$F$52,RAB!$C$14:$C$52,C372)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SUMIFS(RAB!$F$14:$F$52,RAB!$C$14:$C$52,C373)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3" priority="5" operator="equal">
      <formula>0</formula>
    </cfRule>
  </conditionalFormatting>
  <conditionalFormatting sqref="C16:C165">
    <cfRule type="cellIs" dxfId="42" priority="4" stopIfTrue="1" operator="equal">
      <formula>0</formula>
    </cfRule>
  </conditionalFormatting>
  <conditionalFormatting sqref="C16:E165">
    <cfRule type="cellIs" dxfId="41" priority="1" operator="equal">
      <formula>0</formula>
    </cfRule>
  </conditionalFormatting>
  <conditionalFormatting sqref="D224:F373">
    <cfRule type="cellIs" dxfId="40" priority="8" operator="equal">
      <formula>0</formula>
    </cfRule>
  </conditionalFormatting>
  <conditionalFormatting sqref="E1:E3 G1:G115 E6:E15 H12:I12 N13 F14:F15 H14:K115 E166:K166 G166:G223 E167:F167 H167:K167">
    <cfRule type="cellIs" dxfId="39" priority="43" stopIfTrue="1" operator="equal">
      <formula>0</formula>
    </cfRule>
  </conditionalFormatting>
  <conditionalFormatting sqref="E171:E65536">
    <cfRule type="cellIs" dxfId="38" priority="9" stopIfTrue="1" operator="equal">
      <formula>0</formula>
    </cfRule>
  </conditionalFormatting>
  <conditionalFormatting sqref="G224">
    <cfRule type="cellIs" dxfId="37" priority="10" operator="equal">
      <formula>0</formula>
    </cfRule>
  </conditionalFormatting>
  <conditionalFormatting sqref="G225:G65536">
    <cfRule type="cellIs" dxfId="36" priority="14" stopIfTrue="1" operator="equal">
      <formula>0</formula>
    </cfRule>
  </conditionalFormatting>
  <conditionalFormatting sqref="R14:T166 G116:K165">
    <cfRule type="cellIs" dxfId="3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96" activePane="bottomRight" state="frozen"/>
      <selection activeCell="D209" sqref="D209"/>
      <selection pane="topRight" activeCell="D209" sqref="D209"/>
      <selection pane="bottomLeft" activeCell="D209" sqref="D209"/>
      <selection pane="bottomRight" activeCell="C204" sqref="C20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7" t="s">
        <v>41</v>
      </c>
      <c r="C2" s="55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8" t="s">
        <v>23</v>
      </c>
      <c r="C4" s="559" t="s">
        <v>1012</v>
      </c>
      <c r="D4" s="559" t="s">
        <v>42</v>
      </c>
      <c r="E4" s="558" t="s">
        <v>43</v>
      </c>
      <c r="F4" s="108" t="s">
        <v>1605</v>
      </c>
      <c r="G4" s="108" t="s">
        <v>1604</v>
      </c>
      <c r="H4" s="556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8"/>
      <c r="C5" s="559"/>
      <c r="D5" s="559"/>
      <c r="E5" s="558"/>
      <c r="F5" s="93"/>
      <c r="G5" s="93"/>
      <c r="H5" s="556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4" priority="138" operator="equal">
      <formula>0</formula>
    </cfRule>
  </conditionalFormatting>
  <conditionalFormatting sqref="B8:C135">
    <cfRule type="cellIs" dxfId="33" priority="51" operator="equal">
      <formula>0</formula>
    </cfRule>
  </conditionalFormatting>
  <conditionalFormatting sqref="B150:G1493">
    <cfRule type="cellIs" dxfId="32" priority="1" operator="equal">
      <formula>0</formula>
    </cfRule>
  </conditionalFormatting>
  <conditionalFormatting sqref="C143:G149">
    <cfRule type="cellIs" dxfId="31" priority="5" operator="equal">
      <formula>0</formula>
    </cfRule>
  </conditionalFormatting>
  <conditionalFormatting sqref="D9:G142">
    <cfRule type="cellIs" dxfId="30" priority="11" operator="equal">
      <formula>0</formula>
    </cfRule>
  </conditionalFormatting>
  <conditionalFormatting sqref="D1:IV5 A1:C7 D6:K6 H1455:IV1457 H1458:XFD1485 H1486:H1493 I1486:XFD1494 A1494:H1494 A1495:XFD65536">
    <cfRule type="cellIs" dxfId="29" priority="163" operator="equal">
      <formula>0</formula>
    </cfRule>
  </conditionalFormatting>
  <conditionalFormatting sqref="D7:IV8 C136:C142 B136:B149">
    <cfRule type="cellIs" dxfId="28" priority="62" operator="equal">
      <formula>0</formula>
    </cfRule>
  </conditionalFormatting>
  <conditionalFormatting sqref="H9:H1418">
    <cfRule type="cellIs" dxfId="27" priority="129" operator="equal">
      <formula>0</formula>
    </cfRule>
  </conditionalFormatting>
  <conditionalFormatting sqref="H1419:I1454">
    <cfRule type="cellIs" dxfId="26" priority="128" operator="equal">
      <formula>0</formula>
    </cfRule>
  </conditionalFormatting>
  <conditionalFormatting sqref="I108:I1418">
    <cfRule type="cellIs" dxfId="25" priority="125" operator="equal">
      <formula>0</formula>
    </cfRule>
  </conditionalFormatting>
  <conditionalFormatting sqref="J108:IV1454">
    <cfRule type="cellIs" dxfId="24" priority="139" operator="equal">
      <formula>0</formula>
    </cfRule>
  </conditionalFormatting>
  <conditionalFormatting sqref="M6:IV6">
    <cfRule type="cellIs" dxfId="23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topLeftCell="A4" zoomScale="70" zoomScaleNormal="70" zoomScaleSheetLayoutView="85" workbookViewId="0">
      <selection activeCell="D16" sqref="D16:E16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4" t="s">
        <v>1454</v>
      </c>
      <c r="C2" s="564"/>
      <c r="D2" s="564"/>
      <c r="E2" s="564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9" t="s">
        <v>1532</v>
      </c>
      <c r="C4" s="570"/>
      <c r="D4" s="570"/>
      <c r="E4" s="571"/>
      <c r="F4" s="434"/>
      <c r="G4" s="434"/>
      <c r="H4" s="435"/>
      <c r="I4" s="594" t="s">
        <v>1533</v>
      </c>
      <c r="J4" s="595"/>
      <c r="K4" s="595"/>
      <c r="L4" s="596"/>
    </row>
    <row r="5" spans="1:12" ht="46.5" customHeight="1">
      <c r="A5" s="204"/>
      <c r="B5" s="437" t="s">
        <v>1379</v>
      </c>
      <c r="C5" s="277" t="s">
        <v>9</v>
      </c>
      <c r="D5" s="565" t="str">
        <f>DATA!D14</f>
        <v>KARYONO BAKSO</v>
      </c>
      <c r="E5" s="566"/>
      <c r="F5" s="208"/>
      <c r="G5" s="208"/>
      <c r="I5" s="438" t="s">
        <v>1379</v>
      </c>
      <c r="J5" s="277" t="s">
        <v>9</v>
      </c>
      <c r="K5" s="597" t="str">
        <f>D5</f>
        <v>KARYONO BAKSO</v>
      </c>
      <c r="L5" s="598"/>
    </row>
    <row r="6" spans="1:12" ht="31.5" customHeight="1">
      <c r="A6" s="204"/>
      <c r="B6" s="437" t="s">
        <v>1529</v>
      </c>
      <c r="C6" s="277" t="s">
        <v>9</v>
      </c>
      <c r="D6" s="574">
        <f>DATA!D17*1000</f>
        <v>0</v>
      </c>
      <c r="E6" s="575"/>
      <c r="F6" s="208"/>
      <c r="G6" s="208"/>
      <c r="I6" s="438" t="s">
        <v>1530</v>
      </c>
      <c r="J6" s="277" t="s">
        <v>9</v>
      </c>
      <c r="K6" s="599">
        <f>DATA!D20*1000</f>
        <v>13200</v>
      </c>
      <c r="L6" s="600"/>
    </row>
    <row r="7" spans="1:12" ht="30.75" customHeight="1">
      <c r="A7" s="204"/>
      <c r="B7" s="437" t="s">
        <v>1441</v>
      </c>
      <c r="C7" s="277" t="s">
        <v>9</v>
      </c>
      <c r="D7" s="572">
        <f>DATA!D18</f>
        <v>1</v>
      </c>
      <c r="E7" s="573"/>
      <c r="F7" s="436" t="s">
        <v>1453</v>
      </c>
      <c r="I7" s="438" t="s">
        <v>1441</v>
      </c>
      <c r="J7" s="277" t="s">
        <v>9</v>
      </c>
      <c r="K7" s="601">
        <f>DATA!D21</f>
        <v>3</v>
      </c>
      <c r="L7" s="602"/>
    </row>
    <row r="8" spans="1:12" ht="51" customHeight="1">
      <c r="A8" s="204"/>
      <c r="B8" s="437" t="s">
        <v>1442</v>
      </c>
      <c r="C8" s="277" t="s">
        <v>9</v>
      </c>
      <c r="D8" s="572">
        <f>DATA!D19</f>
        <v>220</v>
      </c>
      <c r="E8" s="573"/>
      <c r="F8" s="436" t="s">
        <v>1453</v>
      </c>
      <c r="G8" s="431">
        <v>220</v>
      </c>
      <c r="I8" s="438" t="s">
        <v>1442</v>
      </c>
      <c r="J8" s="277" t="s">
        <v>9</v>
      </c>
      <c r="K8" s="601">
        <f>DATA!D22</f>
        <v>380</v>
      </c>
      <c r="L8" s="602"/>
    </row>
    <row r="9" spans="1:12" ht="30" customHeight="1" thickBot="1">
      <c r="A9" s="204"/>
      <c r="B9" s="443" t="s">
        <v>1541</v>
      </c>
      <c r="C9" s="433" t="s">
        <v>9</v>
      </c>
      <c r="D9" s="567">
        <f>IF(D7=1,D6/(380/3^0.5),(D6/(380*3^0.5)))</f>
        <v>0</v>
      </c>
      <c r="E9" s="568"/>
      <c r="F9" s="207"/>
      <c r="G9" s="432">
        <v>380</v>
      </c>
      <c r="I9" s="444" t="s">
        <v>1541</v>
      </c>
      <c r="J9" s="433" t="s">
        <v>9</v>
      </c>
      <c r="K9" s="603">
        <f>IF(K7=1,K6/(380/3^0.5),(K6/(380*3^0.5)))</f>
        <v>20.055325140271211</v>
      </c>
      <c r="L9" s="604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76" t="s">
        <v>1621</v>
      </c>
      <c r="E12" s="577"/>
      <c r="F12" s="208"/>
      <c r="G12" s="208"/>
      <c r="I12" s="460" t="s">
        <v>1534</v>
      </c>
      <c r="J12" s="461" t="s">
        <v>9</v>
      </c>
      <c r="K12" s="576"/>
      <c r="L12" s="577"/>
    </row>
    <row r="13" spans="1:12" ht="31.5" customHeight="1">
      <c r="A13" s="204"/>
      <c r="B13" s="468" t="s">
        <v>1380</v>
      </c>
      <c r="C13" s="448" t="s">
        <v>9</v>
      </c>
      <c r="D13" s="580" t="s">
        <v>1622</v>
      </c>
      <c r="E13" s="581"/>
      <c r="F13" s="208"/>
      <c r="G13" s="208"/>
      <c r="I13" s="462" t="s">
        <v>1380</v>
      </c>
      <c r="J13" s="448" t="s">
        <v>9</v>
      </c>
      <c r="K13" s="580"/>
      <c r="L13" s="581"/>
    </row>
    <row r="14" spans="1:12" ht="30.75" customHeight="1">
      <c r="A14" s="204"/>
      <c r="B14" s="468" t="s">
        <v>1535</v>
      </c>
      <c r="C14" s="448" t="s">
        <v>9</v>
      </c>
      <c r="D14" s="588">
        <v>100</v>
      </c>
      <c r="E14" s="589"/>
      <c r="F14" s="436" t="s">
        <v>1453</v>
      </c>
      <c r="G14" s="440">
        <v>50</v>
      </c>
      <c r="I14" s="462" t="s">
        <v>1535</v>
      </c>
      <c r="J14" s="448" t="s">
        <v>9</v>
      </c>
      <c r="K14" s="588"/>
      <c r="L14" s="589"/>
    </row>
    <row r="15" spans="1:12" ht="57" customHeight="1">
      <c r="A15" s="204"/>
      <c r="B15" s="468" t="s">
        <v>1441</v>
      </c>
      <c r="C15" s="448" t="s">
        <v>9</v>
      </c>
      <c r="D15" s="454">
        <v>3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3</v>
      </c>
      <c r="L15" s="463"/>
    </row>
    <row r="16" spans="1:12" ht="44.25" customHeight="1">
      <c r="A16" s="204"/>
      <c r="B16" s="468" t="s">
        <v>1545</v>
      </c>
      <c r="C16" s="448"/>
      <c r="D16" s="590">
        <f>281/3</f>
        <v>93.666666666666671</v>
      </c>
      <c r="E16" s="591"/>
      <c r="F16" s="436"/>
      <c r="G16" s="440">
        <v>160</v>
      </c>
      <c r="I16" s="462" t="s">
        <v>1537</v>
      </c>
      <c r="J16" s="448" t="s">
        <v>9</v>
      </c>
      <c r="K16" s="592">
        <f>K9</f>
        <v>20.055325140271211</v>
      </c>
      <c r="L16" s="593"/>
    </row>
    <row r="17" spans="1:12" ht="34.5" customHeight="1">
      <c r="A17" s="204"/>
      <c r="B17" s="468" t="s">
        <v>1538</v>
      </c>
      <c r="C17" s="448" t="s">
        <v>9</v>
      </c>
      <c r="D17" s="582">
        <f>IF(D15=1,D14/(20/3^0.5),(D14/(20*3^0.5)))</f>
        <v>2.8867513459481291</v>
      </c>
      <c r="E17" s="583"/>
      <c r="F17" s="436" t="s">
        <v>1453</v>
      </c>
      <c r="G17" s="441">
        <v>200</v>
      </c>
      <c r="I17" s="462" t="s">
        <v>1538</v>
      </c>
      <c r="J17" s="448" t="s">
        <v>9</v>
      </c>
      <c r="K17" s="586">
        <f>IF(K15=1,K14/(20/3^0.5),(K14/(20*3^0.5)))</f>
        <v>0</v>
      </c>
      <c r="L17" s="587"/>
    </row>
    <row r="18" spans="1:12" ht="34.5" customHeight="1">
      <c r="A18" s="204"/>
      <c r="B18" s="468" t="s">
        <v>1539</v>
      </c>
      <c r="C18" s="448" t="s">
        <v>9</v>
      </c>
      <c r="D18" s="582">
        <f>IF(D15=1,D14/(380/3^0.5),(D14/(380*3^0.5)))*1000</f>
        <v>151.93428136569102</v>
      </c>
      <c r="E18" s="583"/>
      <c r="F18" s="436" t="s">
        <v>1453</v>
      </c>
      <c r="G18" s="441">
        <v>250</v>
      </c>
      <c r="I18" s="462" t="s">
        <v>1539</v>
      </c>
      <c r="J18" s="448" t="s">
        <v>9</v>
      </c>
      <c r="K18" s="586">
        <f>IF(K15=1,K14/(380/3^0.5),(K14/(380*3^0.5)))*1000</f>
        <v>0</v>
      </c>
      <c r="L18" s="587"/>
    </row>
    <row r="19" spans="1:12" ht="30" customHeight="1">
      <c r="A19" s="204"/>
      <c r="B19" s="469" t="s">
        <v>1531</v>
      </c>
      <c r="C19" s="447" t="s">
        <v>9</v>
      </c>
      <c r="D19" s="582">
        <f>IF(D15=1,D14/(380/3^0.5),(D14/(380*3^0.5)))</f>
        <v>0.15193428136569101</v>
      </c>
      <c r="E19" s="583"/>
      <c r="F19" s="207"/>
      <c r="G19" s="432"/>
      <c r="I19" s="464" t="s">
        <v>1531</v>
      </c>
      <c r="J19" s="447" t="s">
        <v>9</v>
      </c>
      <c r="K19" s="586">
        <f>IF(K15=1,K14/(380/3^0.5),(K14/(380*3^0.5)))</f>
        <v>0</v>
      </c>
      <c r="L19" s="587"/>
    </row>
    <row r="20" spans="1:12" ht="30" customHeight="1" thickBot="1">
      <c r="A20" s="204"/>
      <c r="B20" s="470" t="s">
        <v>1540</v>
      </c>
      <c r="C20" s="466" t="s">
        <v>9</v>
      </c>
      <c r="D20" s="578">
        <f>D16/D18</f>
        <v>0.61649461744068235</v>
      </c>
      <c r="E20" s="579"/>
      <c r="F20" s="207"/>
      <c r="G20" s="432"/>
      <c r="I20" s="465" t="s">
        <v>1531</v>
      </c>
      <c r="J20" s="466" t="s">
        <v>9</v>
      </c>
      <c r="K20" s="584" t="e">
        <f>K16/K18</f>
        <v>#DIV/0!</v>
      </c>
      <c r="L20" s="585"/>
    </row>
    <row r="21" spans="1:12" ht="9.75" customHeight="1">
      <c r="A21" s="204"/>
      <c r="B21" s="455" t="s">
        <v>1540</v>
      </c>
      <c r="C21" s="456" t="s">
        <v>9</v>
      </c>
      <c r="D21" s="563">
        <v>1</v>
      </c>
      <c r="E21" s="563"/>
      <c r="F21" s="457"/>
      <c r="G21" s="458"/>
      <c r="H21" s="459"/>
      <c r="I21" s="455" t="s">
        <v>1531</v>
      </c>
      <c r="J21" s="456" t="s">
        <v>9</v>
      </c>
      <c r="K21" s="563">
        <v>1</v>
      </c>
      <c r="L21" s="563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60"/>
      <c r="C24" s="561"/>
      <c r="D24" s="561"/>
      <c r="E24" s="562"/>
      <c r="I24" s="560"/>
      <c r="J24" s="561"/>
      <c r="K24" s="561"/>
      <c r="L24" s="562"/>
    </row>
    <row r="26" spans="1:12">
      <c r="D26" s="450"/>
    </row>
    <row r="27" spans="1:12">
      <c r="D27" s="451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2" priority="5" stopIfTrue="1" operator="greaterThan">
      <formula>0.89</formula>
    </cfRule>
    <cfRule type="cellIs" dxfId="2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opLeftCell="A16" zoomScaleNormal="100" workbookViewId="0">
      <selection activeCell="D21" sqref="D21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8.710937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5"/>
      <c r="C1" s="605"/>
      <c r="D1" s="605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13.2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12790800</v>
      </c>
    </row>
    <row r="10" spans="2:11" ht="20.100000000000001" customHeight="1">
      <c r="B10" s="291" t="s">
        <v>1446</v>
      </c>
      <c r="C10" s="292" t="s">
        <v>9</v>
      </c>
      <c r="D10" s="298">
        <f ca="1">RAB!K58</f>
        <v>22817903.921999998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456358.07843999995</v>
      </c>
    </row>
    <row r="12" spans="2:11" ht="9" customHeight="1">
      <c r="B12" s="606"/>
      <c r="C12" s="606"/>
      <c r="D12" s="606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1620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1610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0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1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220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13.2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3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380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topLeftCell="K1" zoomScale="85" zoomScaleNormal="85" workbookViewId="0">
      <pane ySplit="6" topLeftCell="A7" activePane="bottomLeft" state="frozen"/>
      <selection activeCell="H1093" sqref="H1093"/>
      <selection pane="bottomLeft" activeCell="L9" sqref="L9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7" t="s">
        <v>1357</v>
      </c>
      <c r="C3" s="607"/>
      <c r="D3" s="607"/>
      <c r="E3" s="607"/>
      <c r="F3" s="305" t="str">
        <f>DATA!D14</f>
        <v>KARYONO BAKSO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8" t="s">
        <v>1349</v>
      </c>
      <c r="C5" s="608" t="s">
        <v>1358</v>
      </c>
      <c r="D5" s="609" t="s">
        <v>1359</v>
      </c>
      <c r="E5" s="609" t="s">
        <v>1360</v>
      </c>
      <c r="F5" s="608" t="s">
        <v>1361</v>
      </c>
      <c r="G5" s="608"/>
      <c r="H5" s="608"/>
      <c r="I5" s="608"/>
      <c r="J5" s="608"/>
      <c r="K5" s="608" t="s">
        <v>1362</v>
      </c>
      <c r="L5" s="608"/>
      <c r="M5" s="307"/>
      <c r="N5" s="612" t="s">
        <v>1363</v>
      </c>
      <c r="O5" s="609" t="s">
        <v>1364</v>
      </c>
      <c r="P5" s="609" t="s">
        <v>1365</v>
      </c>
      <c r="Q5" s="609" t="s">
        <v>1366</v>
      </c>
      <c r="R5" s="308"/>
      <c r="S5" s="309"/>
      <c r="T5" s="610" t="s">
        <v>1367</v>
      </c>
      <c r="U5" s="310"/>
    </row>
    <row r="6" spans="1:21" ht="20.100000000000001" customHeight="1">
      <c r="B6" s="608"/>
      <c r="C6" s="608"/>
      <c r="D6" s="608"/>
      <c r="E6" s="608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3"/>
      <c r="O6" s="608"/>
      <c r="P6" s="608"/>
      <c r="Q6" s="608"/>
      <c r="R6" s="308"/>
      <c r="S6" s="309"/>
      <c r="T6" s="608"/>
      <c r="U6" s="312"/>
    </row>
    <row r="7" spans="1:21" ht="20.100000000000001" customHeight="1">
      <c r="A7" s="313">
        <v>0</v>
      </c>
      <c r="B7" s="314">
        <v>2023</v>
      </c>
      <c r="C7" s="471">
        <f>DATA!D8*DATA!D26*4</f>
        <v>2112</v>
      </c>
      <c r="D7" s="316">
        <f>C7*4/24</f>
        <v>352</v>
      </c>
      <c r="E7" s="316">
        <f>C7-D7</f>
        <v>1760</v>
      </c>
      <c r="F7" s="317">
        <f ca="1">DATA!D10/1000000</f>
        <v>22.817903921999999</v>
      </c>
      <c r="G7" s="318">
        <f ca="1">DATA!$D$11/1000000</f>
        <v>0.45635807843999998</v>
      </c>
      <c r="H7" s="318">
        <f>C7*DATA!$D$5/1000000</f>
        <v>2.2896720969124655</v>
      </c>
      <c r="I7" s="318">
        <f>(C7*DATA!$D$5*DATA!$D$7)/1000000</f>
        <v>5.1517622180530472E-2</v>
      </c>
      <c r="J7" s="316">
        <f ca="1">SUM(F7:I7)</f>
        <v>25.615451719532995</v>
      </c>
      <c r="K7" s="319">
        <f>DATA!D9/1000000</f>
        <v>12.790800000000001</v>
      </c>
      <c r="L7" s="316">
        <f>((D7*DATA!$D$23)/1000000)+((E7*DATA!$D$24)/1000000)</f>
        <v>3.0512063999999999</v>
      </c>
      <c r="M7" s="316">
        <f>K7+L7</f>
        <v>15.842006400000001</v>
      </c>
      <c r="N7" s="316">
        <f ca="1">M7-J7</f>
        <v>-9.7734453195329944</v>
      </c>
      <c r="O7" s="314">
        <v>1</v>
      </c>
      <c r="P7" s="316">
        <f ca="1">O7*N7</f>
        <v>-9.7734453195329944</v>
      </c>
      <c r="Q7" s="316">
        <f ca="1">P7</f>
        <v>-9.7734453195329944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6336</v>
      </c>
      <c r="D8" s="316">
        <f>C8*4/24</f>
        <v>1056</v>
      </c>
      <c r="E8" s="316">
        <f t="shared" ref="E8:E32" si="0">C8-D8</f>
        <v>5280</v>
      </c>
      <c r="F8" s="314"/>
      <c r="G8" s="318">
        <f ca="1">DATA!$D$11/1000000</f>
        <v>0.45635807843999998</v>
      </c>
      <c r="H8" s="318">
        <f>C8*DATA!$D$5/1000000</f>
        <v>6.8690162907373971</v>
      </c>
      <c r="I8" s="318">
        <f>(C8*DATA!$D$5*DATA!$D$7)/1000000</f>
        <v>0.15455286654159142</v>
      </c>
      <c r="J8" s="316">
        <f t="shared" ref="J8:J32" ca="1" si="1">SUM(F8:I8)</f>
        <v>7.4799272357189883</v>
      </c>
      <c r="K8" s="321"/>
      <c r="L8" s="316">
        <f>((D8*DATA!$D$23)/1000000)+((E8*DATA!$D$24)/1000000)</f>
        <v>9.1536191999999996</v>
      </c>
      <c r="M8" s="316">
        <f t="shared" ref="M8:M32" si="2">K8+L8</f>
        <v>9.1536191999999996</v>
      </c>
      <c r="N8" s="316">
        <f ca="1">M8-J8</f>
        <v>1.6736919642810113</v>
      </c>
      <c r="O8" s="315">
        <f>1/(1+'[92]Asumsi I'!$C$3)^(KKF!A8)</f>
        <v>0.89285714285714279</v>
      </c>
      <c r="P8" s="316">
        <f ca="1">O8*N8</f>
        <v>1.4943678252509029</v>
      </c>
      <c r="Q8" s="316">
        <f ca="1">Q7+P8</f>
        <v>-8.2790774942820917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6336</v>
      </c>
      <c r="D9" s="316">
        <f t="shared" ref="D9:D32" si="5">C9*4/24</f>
        <v>1056</v>
      </c>
      <c r="E9" s="316">
        <f t="shared" si="0"/>
        <v>5280</v>
      </c>
      <c r="F9" s="314"/>
      <c r="G9" s="318">
        <f ca="1">DATA!$D$11/1000000</f>
        <v>0.45635807843999998</v>
      </c>
      <c r="H9" s="318">
        <f>C9*DATA!$D$5/1000000</f>
        <v>6.8690162907373971</v>
      </c>
      <c r="I9" s="318">
        <f>(C9*DATA!$D$5*DATA!$D$7)/1000000</f>
        <v>0.15455286654159142</v>
      </c>
      <c r="J9" s="316">
        <f t="shared" ca="1" si="1"/>
        <v>7.4799272357189883</v>
      </c>
      <c r="K9" s="316"/>
      <c r="L9" s="316">
        <f>((D9*DATA!$D$23)/1000000)+((E9*DATA!$D$24)/1000000)</f>
        <v>9.1536191999999996</v>
      </c>
      <c r="M9" s="316">
        <f t="shared" si="2"/>
        <v>9.1536191999999996</v>
      </c>
      <c r="N9" s="316">
        <f t="shared" ref="N9:N32" ca="1" si="6">M9-J9</f>
        <v>1.6736919642810113</v>
      </c>
      <c r="O9" s="322">
        <f>1/(1+'[92]Asumsi I'!$C$3)^(KKF!A9)</f>
        <v>0.79719387755102034</v>
      </c>
      <c r="P9" s="316">
        <f t="shared" ref="P9:P32" ca="1" si="7">O9*N9</f>
        <v>1.3342569868311631</v>
      </c>
      <c r="Q9" s="316">
        <f ca="1">Q8+P9</f>
        <v>-6.9448205074509284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6336</v>
      </c>
      <c r="D10" s="316">
        <f t="shared" si="5"/>
        <v>1056</v>
      </c>
      <c r="E10" s="316">
        <f t="shared" si="0"/>
        <v>5280</v>
      </c>
      <c r="F10" s="314"/>
      <c r="G10" s="318">
        <f ca="1">DATA!$D$11/1000000</f>
        <v>0.45635807843999998</v>
      </c>
      <c r="H10" s="318">
        <f>C10*DATA!$D$5/1000000</f>
        <v>6.8690162907373971</v>
      </c>
      <c r="I10" s="318">
        <f>(C10*DATA!$D$5*DATA!$D$7)/1000000</f>
        <v>0.15455286654159142</v>
      </c>
      <c r="J10" s="316">
        <f t="shared" ca="1" si="1"/>
        <v>7.4799272357189883</v>
      </c>
      <c r="K10" s="314"/>
      <c r="L10" s="316">
        <f>((D10*DATA!$D$23)/1000000)+((E10*DATA!$D$24)/1000000)</f>
        <v>9.1536191999999996</v>
      </c>
      <c r="M10" s="316">
        <f t="shared" si="2"/>
        <v>9.1536191999999996</v>
      </c>
      <c r="N10" s="316">
        <f t="shared" ca="1" si="6"/>
        <v>1.6736919642810113</v>
      </c>
      <c r="O10" s="315">
        <f>1/(1+'[92]Asumsi I'!$C$3)^(KKF!A10)</f>
        <v>0.71178024781341087</v>
      </c>
      <c r="P10" s="316">
        <f t="shared" ca="1" si="7"/>
        <v>1.1913008810992527</v>
      </c>
      <c r="Q10" s="316">
        <f t="shared" ref="Q10:Q30" ca="1" si="9">Q9+P10</f>
        <v>-5.7535196263516752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6336</v>
      </c>
      <c r="D11" s="316">
        <f t="shared" si="5"/>
        <v>1056</v>
      </c>
      <c r="E11" s="316">
        <f t="shared" si="0"/>
        <v>5280</v>
      </c>
      <c r="F11" s="314"/>
      <c r="G11" s="318">
        <f ca="1">DATA!$D$11/1000000</f>
        <v>0.45635807843999998</v>
      </c>
      <c r="H11" s="318">
        <f>C11*DATA!$D$5/1000000</f>
        <v>6.8690162907373971</v>
      </c>
      <c r="I11" s="318">
        <f>(C11*DATA!$D$5*DATA!$D$7)/1000000</f>
        <v>0.15455286654159142</v>
      </c>
      <c r="J11" s="316">
        <f t="shared" ca="1" si="1"/>
        <v>7.4799272357189883</v>
      </c>
      <c r="K11" s="314"/>
      <c r="L11" s="316">
        <f>((D11*DATA!$D$23)/1000000)+((E11*DATA!$D$24)/1000000)</f>
        <v>9.1536191999999996</v>
      </c>
      <c r="M11" s="316">
        <f t="shared" si="2"/>
        <v>9.1536191999999996</v>
      </c>
      <c r="N11" s="316">
        <f t="shared" ca="1" si="6"/>
        <v>1.6736919642810113</v>
      </c>
      <c r="O11" s="315">
        <f>1/(1+'[92]Asumsi I'!$C$3)^(KKF!A11)</f>
        <v>0.63551807840483121</v>
      </c>
      <c r="P11" s="316">
        <f t="shared" ca="1" si="7"/>
        <v>1.0636615009814756</v>
      </c>
      <c r="Q11" s="316">
        <f t="shared" ca="1" si="9"/>
        <v>-4.6898581253701996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6336</v>
      </c>
      <c r="D12" s="316">
        <f t="shared" si="5"/>
        <v>1056</v>
      </c>
      <c r="E12" s="316">
        <f t="shared" si="0"/>
        <v>5280</v>
      </c>
      <c r="F12" s="314"/>
      <c r="G12" s="318">
        <f ca="1">DATA!$D$11/1000000</f>
        <v>0.45635807843999998</v>
      </c>
      <c r="H12" s="318">
        <f>C12*DATA!$D$5/1000000</f>
        <v>6.8690162907373971</v>
      </c>
      <c r="I12" s="318">
        <f>(C12*DATA!$D$5*DATA!$D$7)/1000000</f>
        <v>0.15455286654159142</v>
      </c>
      <c r="J12" s="316">
        <f t="shared" ca="1" si="1"/>
        <v>7.4799272357189883</v>
      </c>
      <c r="K12" s="314"/>
      <c r="L12" s="316">
        <f>((D12*DATA!$D$23)/1000000)+((E12*DATA!$D$24)/1000000)</f>
        <v>9.1536191999999996</v>
      </c>
      <c r="M12" s="316">
        <f t="shared" si="2"/>
        <v>9.1536191999999996</v>
      </c>
      <c r="N12" s="316">
        <f t="shared" ca="1" si="6"/>
        <v>1.6736919642810113</v>
      </c>
      <c r="O12" s="315">
        <f>1/(1+'[92]Asumsi I'!$C$3)^(KKF!A12)</f>
        <v>0.56742685571859919</v>
      </c>
      <c r="P12" s="316">
        <f t="shared" ca="1" si="7"/>
        <v>0.94969776873346023</v>
      </c>
      <c r="Q12" s="316">
        <f t="shared" ca="1" si="9"/>
        <v>-3.7401603566367392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6336</v>
      </c>
      <c r="D13" s="316">
        <f t="shared" si="5"/>
        <v>1056</v>
      </c>
      <c r="E13" s="316">
        <f t="shared" si="0"/>
        <v>5280</v>
      </c>
      <c r="F13" s="314"/>
      <c r="G13" s="318">
        <f ca="1">DATA!$D$11/1000000</f>
        <v>0.45635807843999998</v>
      </c>
      <c r="H13" s="318">
        <f>C13*DATA!$D$5/1000000</f>
        <v>6.8690162907373971</v>
      </c>
      <c r="I13" s="318">
        <f>(C13*DATA!$D$5*DATA!$D$7)/1000000</f>
        <v>0.15455286654159142</v>
      </c>
      <c r="J13" s="316">
        <f t="shared" ca="1" si="1"/>
        <v>7.4799272357189883</v>
      </c>
      <c r="K13" s="314"/>
      <c r="L13" s="316">
        <f>((D13*DATA!$D$23)/1000000)+((E13*DATA!$D$24)/1000000)</f>
        <v>9.1536191999999996</v>
      </c>
      <c r="M13" s="316">
        <f t="shared" si="2"/>
        <v>9.1536191999999996</v>
      </c>
      <c r="N13" s="316">
        <f t="shared" ca="1" si="6"/>
        <v>1.6736919642810113</v>
      </c>
      <c r="O13" s="315">
        <f>1/(1+'[92]Asumsi I'!$C$3)^(KKF!A13)</f>
        <v>0.50663112117732068</v>
      </c>
      <c r="P13" s="316">
        <f t="shared" ca="1" si="7"/>
        <v>0.84794443636916095</v>
      </c>
      <c r="Q13" s="316">
        <f t="shared" ca="1" si="9"/>
        <v>-2.8922159202675783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6336</v>
      </c>
      <c r="D14" s="316">
        <f t="shared" si="5"/>
        <v>1056</v>
      </c>
      <c r="E14" s="316">
        <f t="shared" si="0"/>
        <v>5280</v>
      </c>
      <c r="F14" s="314"/>
      <c r="G14" s="318">
        <f ca="1">DATA!$D$11/1000000</f>
        <v>0.45635807843999998</v>
      </c>
      <c r="H14" s="318">
        <f>C14*DATA!$D$5/1000000</f>
        <v>6.8690162907373971</v>
      </c>
      <c r="I14" s="318">
        <f>(C14*DATA!$D$5*DATA!$D$7)/1000000</f>
        <v>0.15455286654159142</v>
      </c>
      <c r="J14" s="316">
        <f t="shared" ca="1" si="1"/>
        <v>7.4799272357189883</v>
      </c>
      <c r="K14" s="314"/>
      <c r="L14" s="316">
        <f>((D14*DATA!$D$23)/1000000)+((E14*DATA!$D$24)/1000000)</f>
        <v>9.1536191999999996</v>
      </c>
      <c r="M14" s="316">
        <f t="shared" si="2"/>
        <v>9.1536191999999996</v>
      </c>
      <c r="N14" s="316">
        <f t="shared" ca="1" si="6"/>
        <v>1.6736919642810113</v>
      </c>
      <c r="O14" s="315">
        <f>1/(1+'[92]Asumsi I'!$C$3)^(KKF!A14)</f>
        <v>0.45234921533689343</v>
      </c>
      <c r="P14" s="316">
        <f t="shared" ca="1" si="7"/>
        <v>0.75709324675817935</v>
      </c>
      <c r="Q14" s="316">
        <f t="shared" ca="1" si="9"/>
        <v>-2.1351226735093989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6336</v>
      </c>
      <c r="D15" s="316">
        <f t="shared" si="5"/>
        <v>1056</v>
      </c>
      <c r="E15" s="316">
        <f t="shared" si="0"/>
        <v>5280</v>
      </c>
      <c r="F15" s="314"/>
      <c r="G15" s="318">
        <f ca="1">DATA!$D$11/1000000</f>
        <v>0.45635807843999998</v>
      </c>
      <c r="H15" s="318">
        <f>C15*DATA!$D$5/1000000</f>
        <v>6.8690162907373971</v>
      </c>
      <c r="I15" s="318">
        <f>(C15*DATA!$D$5*DATA!$D$7)/1000000</f>
        <v>0.15455286654159142</v>
      </c>
      <c r="J15" s="316">
        <f t="shared" ca="1" si="1"/>
        <v>7.4799272357189883</v>
      </c>
      <c r="K15" s="314"/>
      <c r="L15" s="316">
        <f>((D15*DATA!$D$23)/1000000)+((E15*DATA!$D$24)/1000000)</f>
        <v>9.1536191999999996</v>
      </c>
      <c r="M15" s="316">
        <f t="shared" si="2"/>
        <v>9.1536191999999996</v>
      </c>
      <c r="N15" s="316">
        <f t="shared" ca="1" si="6"/>
        <v>1.6736919642810113</v>
      </c>
      <c r="O15" s="315">
        <f>1/(1+'[92]Asumsi I'!$C$3)^(KKF!A15)</f>
        <v>0.4038832279793691</v>
      </c>
      <c r="P15" s="316">
        <f t="shared" ca="1" si="7"/>
        <v>0.67597611317694573</v>
      </c>
      <c r="Q15" s="316">
        <f t="shared" ca="1" si="9"/>
        <v>-1.4591465603324532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6336</v>
      </c>
      <c r="D16" s="316">
        <f t="shared" si="5"/>
        <v>1056</v>
      </c>
      <c r="E16" s="316">
        <f t="shared" si="0"/>
        <v>5280</v>
      </c>
      <c r="F16" s="314"/>
      <c r="G16" s="318">
        <f ca="1">DATA!$D$11/1000000</f>
        <v>0.45635807843999998</v>
      </c>
      <c r="H16" s="318">
        <f>C16*DATA!$D$5/1000000</f>
        <v>6.8690162907373971</v>
      </c>
      <c r="I16" s="318">
        <f>(C16*DATA!$D$5*DATA!$D$7)/1000000</f>
        <v>0.15455286654159142</v>
      </c>
      <c r="J16" s="316">
        <f t="shared" ca="1" si="1"/>
        <v>7.4799272357189883</v>
      </c>
      <c r="K16" s="314"/>
      <c r="L16" s="316">
        <f>((D16*DATA!$D$23)/1000000)+((E16*DATA!$D$24)/1000000)</f>
        <v>9.1536191999999996</v>
      </c>
      <c r="M16" s="316">
        <f t="shared" si="2"/>
        <v>9.1536191999999996</v>
      </c>
      <c r="N16" s="316">
        <f t="shared" ca="1" si="6"/>
        <v>1.6736919642810113</v>
      </c>
      <c r="O16" s="315">
        <f>1/(1+'[92]Asumsi I'!$C$3)^(KKF!A16)</f>
        <v>0.36061002498157957</v>
      </c>
      <c r="P16" s="316">
        <f t="shared" ca="1" si="7"/>
        <v>0.6035501010508445</v>
      </c>
      <c r="Q16" s="316">
        <f t="shared" ca="1" si="9"/>
        <v>-0.85559645928160866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6336</v>
      </c>
      <c r="D17" s="316">
        <f t="shared" si="5"/>
        <v>1056</v>
      </c>
      <c r="E17" s="316">
        <f t="shared" si="0"/>
        <v>5280</v>
      </c>
      <c r="F17" s="314"/>
      <c r="G17" s="318">
        <f ca="1">DATA!$D$11/1000000</f>
        <v>0.45635807843999998</v>
      </c>
      <c r="H17" s="318">
        <f>C17*DATA!$D$5/1000000</f>
        <v>6.8690162907373971</v>
      </c>
      <c r="I17" s="318">
        <f>(C17*DATA!$D$5*DATA!$D$7)/1000000</f>
        <v>0.15455286654159142</v>
      </c>
      <c r="J17" s="316">
        <f t="shared" ca="1" si="1"/>
        <v>7.4799272357189883</v>
      </c>
      <c r="K17" s="314"/>
      <c r="L17" s="316">
        <f>((D17*DATA!$D$23)/1000000)+((E17*DATA!$D$24)/1000000)</f>
        <v>9.1536191999999996</v>
      </c>
      <c r="M17" s="316">
        <f t="shared" si="2"/>
        <v>9.1536191999999996</v>
      </c>
      <c r="N17" s="316">
        <f t="shared" ca="1" si="6"/>
        <v>1.6736919642810113</v>
      </c>
      <c r="O17" s="315">
        <f>1/(1+'[92]Asumsi I'!$C$3)^(KKF!A17)</f>
        <v>0.32197323659069599</v>
      </c>
      <c r="P17" s="316">
        <f t="shared" ca="1" si="7"/>
        <v>0.53888401879539671</v>
      </c>
      <c r="Q17" s="316">
        <f t="shared" ca="1" si="9"/>
        <v>-0.31671244048621194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6336</v>
      </c>
      <c r="D18" s="316">
        <f t="shared" si="5"/>
        <v>1056</v>
      </c>
      <c r="E18" s="316">
        <f t="shared" si="0"/>
        <v>5280</v>
      </c>
      <c r="F18" s="314"/>
      <c r="G18" s="318">
        <f ca="1">DATA!$D$11/1000000</f>
        <v>0.45635807843999998</v>
      </c>
      <c r="H18" s="318">
        <f>C18*DATA!$D$5/1000000</f>
        <v>6.8690162907373971</v>
      </c>
      <c r="I18" s="318">
        <f>(C18*DATA!$D$5*DATA!$D$7)/1000000</f>
        <v>0.15455286654159142</v>
      </c>
      <c r="J18" s="316">
        <f t="shared" ca="1" si="1"/>
        <v>7.4799272357189883</v>
      </c>
      <c r="K18" s="314"/>
      <c r="L18" s="316">
        <f>((D18*DATA!$D$23)/1000000)+((E18*DATA!$D$24)/1000000)</f>
        <v>9.1536191999999996</v>
      </c>
      <c r="M18" s="316">
        <f t="shared" si="2"/>
        <v>9.1536191999999996</v>
      </c>
      <c r="N18" s="316">
        <f t="shared" ca="1" si="6"/>
        <v>1.6736919642810113</v>
      </c>
      <c r="O18" s="315">
        <f>1/(1+'[92]Asumsi I'!$C$3)^(KKF!A18)</f>
        <v>0.28747610409883567</v>
      </c>
      <c r="P18" s="316">
        <f t="shared" ca="1" si="7"/>
        <v>0.48114644535303275</v>
      </c>
      <c r="Q18" s="316">
        <f t="shared" ca="1" si="9"/>
        <v>0.1644340048668208</v>
      </c>
      <c r="S18" s="304" t="str">
        <f t="shared" ca="1" si="3"/>
        <v/>
      </c>
      <c r="T18" s="320">
        <f t="shared" ca="1" si="10"/>
        <v>10.901753722682502</v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6336</v>
      </c>
      <c r="D19" s="316">
        <f t="shared" si="5"/>
        <v>1056</v>
      </c>
      <c r="E19" s="316">
        <f t="shared" si="0"/>
        <v>5280</v>
      </c>
      <c r="F19" s="314"/>
      <c r="G19" s="318">
        <f ca="1">DATA!$D$11/1000000</f>
        <v>0.45635807843999998</v>
      </c>
      <c r="H19" s="318">
        <f>C19*DATA!$D$5/1000000</f>
        <v>6.8690162907373971</v>
      </c>
      <c r="I19" s="318">
        <f>(C19*DATA!$D$5*DATA!$D$7)/1000000</f>
        <v>0.15455286654159142</v>
      </c>
      <c r="J19" s="316">
        <f t="shared" ca="1" si="1"/>
        <v>7.4799272357189883</v>
      </c>
      <c r="K19" s="314"/>
      <c r="L19" s="316">
        <f>((D19*DATA!$D$23)/1000000)+((E19*DATA!$D$24)/1000000)</f>
        <v>9.1536191999999996</v>
      </c>
      <c r="M19" s="316">
        <f t="shared" si="2"/>
        <v>9.1536191999999996</v>
      </c>
      <c r="N19" s="316">
        <f t="shared" ca="1" si="6"/>
        <v>1.6736919642810113</v>
      </c>
      <c r="O19" s="315">
        <f>1/(1+'[92]Asumsi I'!$C$3)^(KKF!A19)</f>
        <v>0.25667509294538904</v>
      </c>
      <c r="P19" s="316">
        <f t="shared" ca="1" si="7"/>
        <v>0.42959504049377933</v>
      </c>
      <c r="Q19" s="316">
        <f t="shared" ca="1" si="9"/>
        <v>0.59402904536060008</v>
      </c>
      <c r="S19" s="304" t="str">
        <f t="shared" ca="1" si="3"/>
        <v/>
      </c>
      <c r="T19" s="320">
        <f t="shared" ca="1" si="10"/>
        <v>11.645078629737112</v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6336</v>
      </c>
      <c r="D20" s="316">
        <f t="shared" si="5"/>
        <v>1056</v>
      </c>
      <c r="E20" s="316">
        <f t="shared" si="0"/>
        <v>5280</v>
      </c>
      <c r="F20" s="314"/>
      <c r="G20" s="318">
        <f ca="1">DATA!$D$11/1000000</f>
        <v>0.45635807843999998</v>
      </c>
      <c r="H20" s="318">
        <f>C20*DATA!$D$5/1000000</f>
        <v>6.8690162907373971</v>
      </c>
      <c r="I20" s="318">
        <f>(C20*DATA!$D$5*DATA!$D$7)/1000000</f>
        <v>0.15455286654159142</v>
      </c>
      <c r="J20" s="316">
        <f t="shared" ca="1" si="1"/>
        <v>7.4799272357189883</v>
      </c>
      <c r="K20" s="314"/>
      <c r="L20" s="316">
        <f>((D20*DATA!$D$23)/1000000)+((E20*DATA!$D$24)/1000000)</f>
        <v>9.1536191999999996</v>
      </c>
      <c r="M20" s="316">
        <f t="shared" si="2"/>
        <v>9.1536191999999996</v>
      </c>
      <c r="N20" s="316">
        <f t="shared" ca="1" si="6"/>
        <v>1.6736919642810113</v>
      </c>
      <c r="O20" s="315">
        <f>1/(1+'[92]Asumsi I'!$C$3)^(KKF!A20)</f>
        <v>0.22917419012981158</v>
      </c>
      <c r="P20" s="316">
        <f t="shared" ca="1" si="7"/>
        <v>0.38356700044087427</v>
      </c>
      <c r="Q20" s="316">
        <f t="shared" ca="1" si="9"/>
        <v>0.9775960458014743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6336</v>
      </c>
      <c r="D21" s="316">
        <f t="shared" si="5"/>
        <v>1056</v>
      </c>
      <c r="E21" s="316">
        <f t="shared" si="0"/>
        <v>5280</v>
      </c>
      <c r="F21" s="314"/>
      <c r="G21" s="318">
        <f ca="1">DATA!$D$11/1000000</f>
        <v>0.45635807843999998</v>
      </c>
      <c r="H21" s="318">
        <f>C21*DATA!$D$5/1000000</f>
        <v>6.8690162907373971</v>
      </c>
      <c r="I21" s="318">
        <f>(C21*DATA!$D$5*DATA!$D$7)/1000000</f>
        <v>0.15455286654159142</v>
      </c>
      <c r="J21" s="316">
        <f t="shared" ca="1" si="1"/>
        <v>7.4799272357189883</v>
      </c>
      <c r="K21" s="314"/>
      <c r="L21" s="316">
        <f>((D21*DATA!$D$23)/1000000)+((E21*DATA!$D$24)/1000000)</f>
        <v>9.1536191999999996</v>
      </c>
      <c r="M21" s="316">
        <f t="shared" si="2"/>
        <v>9.1536191999999996</v>
      </c>
      <c r="N21" s="316">
        <f t="shared" ca="1" si="6"/>
        <v>1.6736919642810113</v>
      </c>
      <c r="O21" s="315">
        <f>1/(1+'[92]Asumsi I'!$C$3)^(KKF!A21)</f>
        <v>0.20461981261590317</v>
      </c>
      <c r="P21" s="316">
        <f t="shared" ca="1" si="7"/>
        <v>0.34247053610792344</v>
      </c>
      <c r="Q21" s="316">
        <f t="shared" ca="1" si="9"/>
        <v>1.3200665819093977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6336</v>
      </c>
      <c r="D22" s="316">
        <f t="shared" si="5"/>
        <v>1056</v>
      </c>
      <c r="E22" s="316">
        <f t="shared" si="0"/>
        <v>5280</v>
      </c>
      <c r="F22" s="314"/>
      <c r="G22" s="318">
        <f ca="1">DATA!$D$11/1000000</f>
        <v>0.45635807843999998</v>
      </c>
      <c r="H22" s="318">
        <f>C22*DATA!$D$5/1000000</f>
        <v>6.8690162907373971</v>
      </c>
      <c r="I22" s="318">
        <f>(C22*DATA!$D$5*DATA!$D$7)/1000000</f>
        <v>0.15455286654159142</v>
      </c>
      <c r="J22" s="316">
        <f t="shared" ca="1" si="1"/>
        <v>7.4799272357189883</v>
      </c>
      <c r="K22" s="314"/>
      <c r="L22" s="316">
        <f>((D22*DATA!$D$23)/1000000)+((E22*DATA!$D$24)/1000000)</f>
        <v>9.1536191999999996</v>
      </c>
      <c r="M22" s="316">
        <f t="shared" si="2"/>
        <v>9.1536191999999996</v>
      </c>
      <c r="N22" s="316">
        <f t="shared" ca="1" si="6"/>
        <v>1.6736919642810113</v>
      </c>
      <c r="O22" s="315">
        <f>1/(1+'[92]Asumsi I'!$C$3)^(KKF!A22)</f>
        <v>0.18269626126419927</v>
      </c>
      <c r="P22" s="316">
        <f t="shared" ca="1" si="7"/>
        <v>0.30577726438207453</v>
      </c>
      <c r="Q22" s="316">
        <f t="shared" ca="1" si="9"/>
        <v>1.6258438462914722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6336</v>
      </c>
      <c r="D23" s="316">
        <f t="shared" si="5"/>
        <v>1056</v>
      </c>
      <c r="E23" s="316">
        <f t="shared" si="0"/>
        <v>5280</v>
      </c>
      <c r="F23" s="314"/>
      <c r="G23" s="318">
        <f ca="1">DATA!$D$11/1000000</f>
        <v>0.45635807843999998</v>
      </c>
      <c r="H23" s="318">
        <f>C23*DATA!$D$5/1000000</f>
        <v>6.8690162907373971</v>
      </c>
      <c r="I23" s="318">
        <f>(C23*DATA!$D$5*DATA!$D$7)/1000000</f>
        <v>0.15455286654159142</v>
      </c>
      <c r="J23" s="316">
        <f t="shared" ca="1" si="1"/>
        <v>7.4799272357189883</v>
      </c>
      <c r="K23" s="314"/>
      <c r="L23" s="316">
        <f>((D23*DATA!$D$23)/1000000)+((E23*DATA!$D$24)/1000000)</f>
        <v>9.1536191999999996</v>
      </c>
      <c r="M23" s="316">
        <f t="shared" si="2"/>
        <v>9.1536191999999996</v>
      </c>
      <c r="N23" s="316">
        <f t="shared" ca="1" si="6"/>
        <v>1.6736919642810113</v>
      </c>
      <c r="O23" s="315">
        <f>1/(1+'[92]Asumsi I'!$C$3)^(KKF!A23)</f>
        <v>0.16312166184303503</v>
      </c>
      <c r="P23" s="316">
        <f t="shared" ca="1" si="7"/>
        <v>0.27301541462685219</v>
      </c>
      <c r="Q23" s="316">
        <f t="shared" ca="1" si="9"/>
        <v>1.8988592609183244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6336</v>
      </c>
      <c r="D24" s="316">
        <f t="shared" si="5"/>
        <v>1056</v>
      </c>
      <c r="E24" s="316">
        <f t="shared" si="0"/>
        <v>5280</v>
      </c>
      <c r="F24" s="314"/>
      <c r="G24" s="318">
        <f ca="1">DATA!$D$11/1000000</f>
        <v>0.45635807843999998</v>
      </c>
      <c r="H24" s="318">
        <f>C24*DATA!$D$5/1000000</f>
        <v>6.8690162907373971</v>
      </c>
      <c r="I24" s="318">
        <f>(C24*DATA!$D$5*DATA!$D$7)/1000000</f>
        <v>0.15455286654159142</v>
      </c>
      <c r="J24" s="316">
        <f t="shared" ca="1" si="1"/>
        <v>7.4799272357189883</v>
      </c>
      <c r="K24" s="314"/>
      <c r="L24" s="316">
        <f>((D24*DATA!$D$23)/1000000)+((E24*DATA!$D$24)/1000000)</f>
        <v>9.1536191999999996</v>
      </c>
      <c r="M24" s="316">
        <f t="shared" si="2"/>
        <v>9.1536191999999996</v>
      </c>
      <c r="N24" s="316">
        <f t="shared" ca="1" si="6"/>
        <v>1.6736919642810113</v>
      </c>
      <c r="O24" s="315">
        <f>1/(1+'[92]Asumsi I'!$C$3)^(KKF!A24)</f>
        <v>0.14564434093128129</v>
      </c>
      <c r="P24" s="316">
        <f t="shared" ca="1" si="7"/>
        <v>0.24376376305968947</v>
      </c>
      <c r="Q24" s="316">
        <f t="shared" ca="1" si="9"/>
        <v>2.1426230239780137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6336</v>
      </c>
      <c r="D25" s="316">
        <f t="shared" si="5"/>
        <v>1056</v>
      </c>
      <c r="E25" s="316">
        <f t="shared" si="0"/>
        <v>5280</v>
      </c>
      <c r="F25" s="314"/>
      <c r="G25" s="318">
        <f ca="1">DATA!$D$11/1000000</f>
        <v>0.45635807843999998</v>
      </c>
      <c r="H25" s="318">
        <f>C25*DATA!$D$5/1000000</f>
        <v>6.8690162907373971</v>
      </c>
      <c r="I25" s="318">
        <f>(C25*DATA!$D$5*DATA!$D$7)/1000000</f>
        <v>0.15455286654159142</v>
      </c>
      <c r="J25" s="316">
        <f t="shared" ca="1" si="1"/>
        <v>7.4799272357189883</v>
      </c>
      <c r="K25" s="314"/>
      <c r="L25" s="316">
        <f>((D25*DATA!$D$23)/1000000)+((E25*DATA!$D$24)/1000000)</f>
        <v>9.1536191999999996</v>
      </c>
      <c r="M25" s="316">
        <f t="shared" si="2"/>
        <v>9.1536191999999996</v>
      </c>
      <c r="N25" s="316">
        <f t="shared" ca="1" si="6"/>
        <v>1.6736919642810113</v>
      </c>
      <c r="O25" s="315">
        <f>1/(1+'[92]Asumsi I'!$C$3)^(KKF!A25)</f>
        <v>0.13003959011721541</v>
      </c>
      <c r="P25" s="316">
        <f t="shared" ca="1" si="7"/>
        <v>0.21764621701757986</v>
      </c>
      <c r="Q25" s="316">
        <f t="shared" ca="1" si="9"/>
        <v>2.3602692409955934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6336</v>
      </c>
      <c r="D26" s="316">
        <f t="shared" si="5"/>
        <v>1056</v>
      </c>
      <c r="E26" s="316">
        <f t="shared" si="0"/>
        <v>5280</v>
      </c>
      <c r="F26" s="314"/>
      <c r="G26" s="318">
        <f ca="1">DATA!$D$11/1000000</f>
        <v>0.45635807843999998</v>
      </c>
      <c r="H26" s="318">
        <f>C26*DATA!$D$5/1000000</f>
        <v>6.8690162907373971</v>
      </c>
      <c r="I26" s="318">
        <f>(C26*DATA!$D$5*DATA!$D$7)/1000000</f>
        <v>0.15455286654159142</v>
      </c>
      <c r="J26" s="316">
        <f t="shared" ca="1" si="1"/>
        <v>7.4799272357189883</v>
      </c>
      <c r="K26" s="314"/>
      <c r="L26" s="316">
        <f>((D26*DATA!$D$23)/1000000)+((E26*DATA!$D$24)/1000000)</f>
        <v>9.1536191999999996</v>
      </c>
      <c r="M26" s="316">
        <f t="shared" si="2"/>
        <v>9.1536191999999996</v>
      </c>
      <c r="N26" s="316">
        <f t="shared" ca="1" si="6"/>
        <v>1.6736919642810113</v>
      </c>
      <c r="O26" s="315">
        <f>1/(1+'[92]Asumsi I'!$C$3)^(KKF!A26)</f>
        <v>0.1161067768903709</v>
      </c>
      <c r="P26" s="316">
        <f t="shared" ca="1" si="7"/>
        <v>0.19432697947998201</v>
      </c>
      <c r="Q26" s="316">
        <f t="shared" ca="1" si="9"/>
        <v>2.5545962204755757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6336</v>
      </c>
      <c r="D27" s="316">
        <f t="shared" si="5"/>
        <v>1056</v>
      </c>
      <c r="E27" s="316">
        <f t="shared" si="0"/>
        <v>5280</v>
      </c>
      <c r="F27" s="314"/>
      <c r="G27" s="318">
        <f ca="1">DATA!$D$11/1000000</f>
        <v>0.45635807843999998</v>
      </c>
      <c r="H27" s="318">
        <f>C27*DATA!$D$5/1000000</f>
        <v>6.8690162907373971</v>
      </c>
      <c r="I27" s="318">
        <f>(C27*DATA!$D$5*DATA!$D$7)/1000000</f>
        <v>0.15455286654159142</v>
      </c>
      <c r="J27" s="316">
        <f t="shared" ca="1" si="1"/>
        <v>7.4799272357189883</v>
      </c>
      <c r="K27" s="314"/>
      <c r="L27" s="316">
        <f>((D27*DATA!$D$23)/1000000)+((E27*DATA!$D$24)/1000000)</f>
        <v>9.1536191999999996</v>
      </c>
      <c r="M27" s="316">
        <f t="shared" si="2"/>
        <v>9.1536191999999996</v>
      </c>
      <c r="N27" s="316">
        <f t="shared" ca="1" si="6"/>
        <v>1.6736919642810113</v>
      </c>
      <c r="O27" s="315">
        <f>1/(1+'[92]Asumsi I'!$C$3)^(KKF!A27)</f>
        <v>0.1036667650806883</v>
      </c>
      <c r="P27" s="316">
        <f t="shared" ca="1" si="7"/>
        <v>0.17350623167855533</v>
      </c>
      <c r="Q27" s="316">
        <f t="shared" ca="1" si="9"/>
        <v>2.7281024521541308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6336</v>
      </c>
      <c r="D28" s="316">
        <f t="shared" si="5"/>
        <v>1056</v>
      </c>
      <c r="E28" s="316">
        <f t="shared" si="0"/>
        <v>5280</v>
      </c>
      <c r="F28" s="314"/>
      <c r="G28" s="318">
        <f ca="1">DATA!$D$11/1000000</f>
        <v>0.45635807843999998</v>
      </c>
      <c r="H28" s="318">
        <f>C28*DATA!$D$5/1000000</f>
        <v>6.8690162907373971</v>
      </c>
      <c r="I28" s="318">
        <f>(C28*DATA!$D$5*DATA!$D$7)/1000000</f>
        <v>0.15455286654159142</v>
      </c>
      <c r="J28" s="316">
        <f t="shared" ca="1" si="1"/>
        <v>7.4799272357189883</v>
      </c>
      <c r="K28" s="314"/>
      <c r="L28" s="316">
        <f>((D28*DATA!$D$23)/1000000)+((E28*DATA!$D$24)/1000000)</f>
        <v>9.1536191999999996</v>
      </c>
      <c r="M28" s="316">
        <f t="shared" si="2"/>
        <v>9.1536191999999996</v>
      </c>
      <c r="N28" s="316">
        <f t="shared" ca="1" si="6"/>
        <v>1.6736919642810113</v>
      </c>
      <c r="O28" s="315">
        <f>1/(1+'[92]Asumsi I'!$C$3)^(KKF!A28)</f>
        <v>9.2559611679185971E-2</v>
      </c>
      <c r="P28" s="316">
        <f t="shared" ca="1" si="7"/>
        <v>0.15491627828442439</v>
      </c>
      <c r="Q28" s="316">
        <f t="shared" ca="1" si="9"/>
        <v>2.8830187304385553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6336</v>
      </c>
      <c r="D29" s="316">
        <f t="shared" si="5"/>
        <v>1056</v>
      </c>
      <c r="E29" s="316">
        <f t="shared" si="0"/>
        <v>5280</v>
      </c>
      <c r="F29" s="314"/>
      <c r="G29" s="318">
        <f ca="1">DATA!$D$11/1000000</f>
        <v>0.45635807843999998</v>
      </c>
      <c r="H29" s="318">
        <f>C29*DATA!$D$5/1000000</f>
        <v>6.8690162907373971</v>
      </c>
      <c r="I29" s="318">
        <f>(C29*DATA!$D$5*DATA!$D$7)/1000000</f>
        <v>0.15455286654159142</v>
      </c>
      <c r="J29" s="316">
        <f t="shared" ca="1" si="1"/>
        <v>7.4799272357189883</v>
      </c>
      <c r="K29" s="314"/>
      <c r="L29" s="316">
        <f>((D29*DATA!$D$23)/1000000)+((E29*DATA!$D$24)/1000000)</f>
        <v>9.1536191999999996</v>
      </c>
      <c r="M29" s="316">
        <f t="shared" si="2"/>
        <v>9.1536191999999996</v>
      </c>
      <c r="N29" s="316">
        <f t="shared" ca="1" si="6"/>
        <v>1.6736919642810113</v>
      </c>
      <c r="O29" s="315">
        <f>1/(1+'[92]Asumsi I'!$C$3)^(KKF!A29)</f>
        <v>8.2642510427844609E-2</v>
      </c>
      <c r="P29" s="316">
        <f t="shared" ca="1" si="7"/>
        <v>0.1383181056110932</v>
      </c>
      <c r="Q29" s="316">
        <f t="shared" ca="1" si="9"/>
        <v>3.0213368360496484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6336</v>
      </c>
      <c r="D30" s="316">
        <f t="shared" si="5"/>
        <v>1056</v>
      </c>
      <c r="E30" s="316">
        <f t="shared" si="0"/>
        <v>5280</v>
      </c>
      <c r="F30" s="314"/>
      <c r="G30" s="318">
        <f ca="1">DATA!$D$11/1000000</f>
        <v>0.45635807843999998</v>
      </c>
      <c r="H30" s="318">
        <f>C30*DATA!$D$5/1000000</f>
        <v>6.8690162907373971</v>
      </c>
      <c r="I30" s="318">
        <f>(C30*DATA!$D$5*DATA!$D$7)/1000000</f>
        <v>0.15455286654159142</v>
      </c>
      <c r="J30" s="316">
        <f t="shared" ca="1" si="1"/>
        <v>7.4799272357189883</v>
      </c>
      <c r="K30" s="314"/>
      <c r="L30" s="316">
        <f>((D30*DATA!$D$23)/1000000)+((E30*DATA!$D$24)/1000000)</f>
        <v>9.1536191999999996</v>
      </c>
      <c r="M30" s="316">
        <f t="shared" si="2"/>
        <v>9.1536191999999996</v>
      </c>
      <c r="N30" s="316">
        <f t="shared" ca="1" si="6"/>
        <v>1.6736919642810113</v>
      </c>
      <c r="O30" s="315">
        <f>1/(1+'[92]Asumsi I'!$C$3)^(KKF!A30)</f>
        <v>7.3787955739146982E-2</v>
      </c>
      <c r="P30" s="316">
        <f t="shared" ca="1" si="7"/>
        <v>0.12349830858133323</v>
      </c>
      <c r="Q30" s="316">
        <f t="shared" ca="1" si="9"/>
        <v>3.1448351446309815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6336</v>
      </c>
      <c r="D31" s="316">
        <f t="shared" si="5"/>
        <v>1056</v>
      </c>
      <c r="E31" s="316">
        <f t="shared" si="0"/>
        <v>5280</v>
      </c>
      <c r="F31" s="314"/>
      <c r="G31" s="318">
        <f ca="1">DATA!$D$11/1000000</f>
        <v>0.45635807843999998</v>
      </c>
      <c r="H31" s="318">
        <f>C31*DATA!$D$5/1000000</f>
        <v>6.8690162907373971</v>
      </c>
      <c r="I31" s="318">
        <f>(C31*DATA!$D$5*DATA!$D$7)/1000000</f>
        <v>0.15455286654159142</v>
      </c>
      <c r="J31" s="316">
        <f t="shared" ca="1" si="1"/>
        <v>7.4799272357189883</v>
      </c>
      <c r="K31" s="314"/>
      <c r="L31" s="316">
        <f>((D31*DATA!$D$23)/1000000)+((E31*DATA!$D$24)/1000000)</f>
        <v>9.1536191999999996</v>
      </c>
      <c r="M31" s="316">
        <f t="shared" si="2"/>
        <v>9.1536191999999996</v>
      </c>
      <c r="N31" s="316">
        <f t="shared" ca="1" si="6"/>
        <v>1.6736919642810113</v>
      </c>
      <c r="O31" s="315">
        <f>1/(1+'[92]Asumsi I'!$C$3)^(KKF!A31)</f>
        <v>6.5882103338524081E-2</v>
      </c>
      <c r="P31" s="316">
        <f t="shared" ca="1" si="7"/>
        <v>0.11026634694761894</v>
      </c>
      <c r="Q31" s="316">
        <f ca="1">Q30+P31</f>
        <v>3.2551014915786003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6336</v>
      </c>
      <c r="D32" s="316">
        <f t="shared" si="5"/>
        <v>1056</v>
      </c>
      <c r="E32" s="316">
        <f t="shared" si="0"/>
        <v>5280</v>
      </c>
      <c r="F32" s="314"/>
      <c r="G32" s="318">
        <f ca="1">DATA!$D$11/1000000</f>
        <v>0.45635807843999998</v>
      </c>
      <c r="H32" s="318">
        <f>C32*DATA!$D$5/1000000</f>
        <v>6.8690162907373971</v>
      </c>
      <c r="I32" s="318">
        <f>(C32*DATA!$D$5*DATA!$D$7)/1000000</f>
        <v>0.15455286654159142</v>
      </c>
      <c r="J32" s="316">
        <f t="shared" ca="1" si="1"/>
        <v>7.4799272357189883</v>
      </c>
      <c r="K32" s="314"/>
      <c r="L32" s="316">
        <f>((D32*DATA!$D$23)/1000000)+((E32*DATA!$D$24)/1000000)</f>
        <v>9.1536191999999996</v>
      </c>
      <c r="M32" s="316">
        <f t="shared" si="2"/>
        <v>9.1536191999999996</v>
      </c>
      <c r="N32" s="316">
        <f t="shared" ca="1" si="6"/>
        <v>1.6736919642810113</v>
      </c>
      <c r="O32" s="315">
        <f>1/(1+'[92]Asumsi I'!$C$3)^(KKF!A32)</f>
        <v>5.8823306552253637E-2</v>
      </c>
      <c r="P32" s="316">
        <f t="shared" ca="1" si="7"/>
        <v>9.8452095488945471E-2</v>
      </c>
      <c r="Q32" s="316">
        <f ca="1">Q31+P32</f>
        <v>3.3535535870675459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1" t="s">
        <v>1374</v>
      </c>
      <c r="G33" s="611"/>
      <c r="H33" s="611"/>
      <c r="I33" s="324"/>
      <c r="J33" s="325">
        <f ca="1">SUM(J7:J32)</f>
        <v>212.61363261250756</v>
      </c>
      <c r="K33" s="611" t="s">
        <v>1375</v>
      </c>
      <c r="L33" s="611"/>
      <c r="M33" s="325">
        <f>SUM(M7:M32)</f>
        <v>244.68248640000007</v>
      </c>
      <c r="N33" s="323"/>
      <c r="O33" s="323"/>
      <c r="P33" s="326"/>
      <c r="Q33" s="326"/>
      <c r="S33" s="304">
        <f ca="1">COUNTIF(S7:S32,"a")</f>
        <v>11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15.304758740678393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11.273416176209807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1.1508315971720338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2.9942442741674489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0.16769779258619577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0" priority="1" stopIfTrue="1" operator="greaterThanOrEqual">
      <formula>$F$7</formula>
    </cfRule>
    <cfRule type="cellIs" dxfId="19" priority="2" stopIfTrue="1" operator="lessThan">
      <formula>$F$7</formula>
    </cfRule>
  </conditionalFormatting>
  <conditionalFormatting sqref="Q7:Q32">
    <cfRule type="cellIs" dxfId="18" priority="3" operator="lessThan">
      <formula>0</formula>
    </cfRule>
    <cfRule type="cellIs" dxfId="17" priority="4" operator="lessThan">
      <formula>0</formula>
    </cfRule>
    <cfRule type="cellIs" dxfId="16" priority="5" operator="lessThan">
      <formula>-6395.81</formula>
    </cfRule>
    <cfRule type="cellIs" dxfId="1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</sheetPr>
  <dimension ref="A1:V73"/>
  <sheetViews>
    <sheetView showGridLines="0" tabSelected="1" zoomScale="85" zoomScaleNormal="85" zoomScaleSheetLayoutView="70" workbookViewId="0">
      <pane ySplit="13" topLeftCell="A17" activePane="bottomLeft" state="frozen"/>
      <selection activeCell="H1093" sqref="H1093"/>
      <selection pane="bottomLeft" activeCell="G8" sqref="G8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4" t="s">
        <v>1036</v>
      </c>
      <c r="P3" s="614"/>
      <c r="Q3" s="346"/>
      <c r="T3" s="344"/>
      <c r="U3" s="345" t="s">
        <v>1041</v>
      </c>
      <c r="V3" s="344"/>
    </row>
    <row r="4" spans="1:22" ht="18.75">
      <c r="B4" s="615" t="s">
        <v>1023</v>
      </c>
      <c r="C4" s="615"/>
      <c r="D4" s="615"/>
      <c r="E4" s="615"/>
      <c r="F4" s="615"/>
      <c r="G4" s="615"/>
      <c r="H4" s="615"/>
      <c r="I4" s="615"/>
      <c r="J4" s="615"/>
      <c r="K4" s="615"/>
      <c r="O4" s="614"/>
      <c r="P4" s="614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1" t="str">
        <f>DATA!D14</f>
        <v>KARYONO BAKSO</v>
      </c>
      <c r="H6" s="632"/>
      <c r="I6" s="632"/>
      <c r="J6" s="632"/>
      <c r="K6" s="632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1624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17" t="s">
        <v>0</v>
      </c>
      <c r="C11" s="619" t="s">
        <v>1</v>
      </c>
      <c r="D11" s="622" t="s">
        <v>42</v>
      </c>
      <c r="E11" s="622" t="s">
        <v>43</v>
      </c>
      <c r="F11" s="622" t="s">
        <v>2</v>
      </c>
      <c r="G11" s="624" t="s">
        <v>41</v>
      </c>
      <c r="H11" s="622" t="s">
        <v>3</v>
      </c>
      <c r="I11" s="622"/>
      <c r="J11" s="622"/>
      <c r="K11" s="642"/>
      <c r="O11" s="351"/>
      <c r="P11" s="352"/>
      <c r="Q11" s="351"/>
      <c r="S11" s="353"/>
      <c r="T11" s="354"/>
      <c r="U11" s="354"/>
      <c r="V11" s="354"/>
    </row>
    <row r="12" spans="1:22">
      <c r="B12" s="618"/>
      <c r="C12" s="620"/>
      <c r="D12" s="623"/>
      <c r="E12" s="623"/>
      <c r="F12" s="623"/>
      <c r="G12" s="625"/>
      <c r="H12" s="627" t="s">
        <v>46</v>
      </c>
      <c r="I12" s="627" t="s">
        <v>5</v>
      </c>
      <c r="J12" s="623" t="s">
        <v>47</v>
      </c>
      <c r="K12" s="643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18"/>
      <c r="C13" s="621"/>
      <c r="D13" s="623"/>
      <c r="E13" s="623"/>
      <c r="F13" s="623"/>
      <c r="G13" s="626"/>
      <c r="H13" s="628"/>
      <c r="I13" s="628"/>
      <c r="J13" s="623"/>
      <c r="K13" s="643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98"/>
      <c r="C15" s="499"/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501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</row>
    <row r="16" spans="1:22">
      <c r="B16" s="500" t="s">
        <v>480</v>
      </c>
      <c r="C16" s="497" t="s">
        <v>1613</v>
      </c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501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21" ca="1" si="8">IF(OR(D16="MDU",D16="MDU-KD"),(IF($O$3="RAB NON MDU","PLN KD",G16*F16)),0)</f>
        <v>0</v>
      </c>
      <c r="I16" s="361">
        <f t="shared" ref="I16:I21" ca="1" si="9">IF(D16="HDW",G16*F16,0)</f>
        <v>0</v>
      </c>
      <c r="J16" s="361">
        <f t="shared" ref="J16:J21" ca="1" si="10">IF(D16="JASA",G16*F16,0)</f>
        <v>0</v>
      </c>
      <c r="K16" s="362">
        <f t="shared" ref="K16:K21" ca="1" si="11">SUM(H16:J16)</f>
        <v>0</v>
      </c>
    </row>
    <row r="17" spans="2:11">
      <c r="B17" s="486" t="s">
        <v>1035</v>
      </c>
      <c r="C17" s="487" t="s">
        <v>1623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517">
        <v>1</v>
      </c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</row>
    <row r="18" spans="2:11" ht="30">
      <c r="B18" s="515">
        <v>1</v>
      </c>
      <c r="C18" s="490" t="s">
        <v>1197</v>
      </c>
      <c r="D18" s="358" t="str">
        <f ca="1">IF(ISERROR(OFFSET('HARGA SATUAN'!$D$6,MATCH(RAB!C18,'HARGA SATUAN'!$C$7:$C$1492,0),0)),"",OFFSET('HARGA SATUAN'!$D$6,MATCH(RAB!C18,'HARGA SATUAN'!$C$7:$C$1492,0),0))</f>
        <v>MDU-KD</v>
      </c>
      <c r="E18" s="359" t="str">
        <f ca="1">IF(B18="+","Unit",IF(ISERROR(OFFSET('HARGA SATUAN'!$E$6,MATCH(RAB!C18,'HARGA SATUAN'!$C$7:$C$1492,0),0)),"",OFFSET('HARGA SATUAN'!$E$6,MATCH(RAB!C18,'HARGA SATUAN'!$C$7:$C$1492,0),0)))</f>
        <v>Bh</v>
      </c>
      <c r="F18" s="517">
        <f>F17*1</f>
        <v>1</v>
      </c>
      <c r="G18" s="360">
        <f ca="1">IF(ISERROR(OFFSET('HARGA SATUAN'!$I$6,MATCH(RAB!C18,'HARGA SATUAN'!$C$7:$C$1492,0),0)),0,OFFSET('HARGA SATUAN'!$I$6,MATCH(RAB!C18,'HARGA SATUAN'!$C$7:$C$1492,0),0))</f>
        <v>1427400</v>
      </c>
      <c r="H18" s="361">
        <f t="shared" ca="1" si="8"/>
        <v>1427400</v>
      </c>
      <c r="I18" s="361">
        <f t="shared" ca="1" si="9"/>
        <v>0</v>
      </c>
      <c r="J18" s="361">
        <f t="shared" ca="1" si="10"/>
        <v>0</v>
      </c>
      <c r="K18" s="362">
        <f t="shared" ca="1" si="11"/>
        <v>1427400</v>
      </c>
    </row>
    <row r="19" spans="2:11">
      <c r="B19" s="515">
        <v>2</v>
      </c>
      <c r="C19" s="516" t="s">
        <v>510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517">
        <f>F17*1</f>
        <v>1</v>
      </c>
      <c r="G19" s="360">
        <f ca="1">IF(ISERROR(OFFSET('HARGA SATUAN'!$I$6,MATCH(RAB!C19,'HARGA SATUAN'!$C$7:$C$1492,0),0)),0,OFFSET('HARGA SATUAN'!$I$6,MATCH(RAB!C19,'HARGA SATUAN'!$C$7:$C$1492,0),0))</f>
        <v>3564900</v>
      </c>
      <c r="H19" s="361">
        <f t="shared" ca="1" si="8"/>
        <v>3564900</v>
      </c>
      <c r="I19" s="361">
        <f t="shared" ca="1" si="9"/>
        <v>0</v>
      </c>
      <c r="J19" s="361">
        <f t="shared" ca="1" si="10"/>
        <v>0</v>
      </c>
      <c r="K19" s="362">
        <f t="shared" ca="1" si="11"/>
        <v>3564900</v>
      </c>
    </row>
    <row r="20" spans="2:11">
      <c r="B20" s="515">
        <v>3</v>
      </c>
      <c r="C20" s="516" t="s">
        <v>77</v>
      </c>
      <c r="D20" s="358" t="str">
        <f ca="1">IF(ISERROR(OFFSET('HARGA SATUAN'!$D$6,MATCH(RAB!C20,'HARGA SATUAN'!$C$7:$C$1492,0),0)),"",OFFSET('HARGA SATUAN'!$D$6,MATCH(RAB!C20,'HARGA SATUAN'!$C$7:$C$1492,0),0))</f>
        <v>MDU-KD</v>
      </c>
      <c r="E20" s="359" t="str">
        <f ca="1">IF(B20="+","Unit",IF(ISERROR(OFFSET('HARGA SATUAN'!$E$6,MATCH(RAB!C20,'HARGA SATUAN'!$C$7:$C$1492,0),0)),"",OFFSET('HARGA SATUAN'!$E$6,MATCH(RAB!C20,'HARGA SATUAN'!$C$7:$C$1492,0),0)))</f>
        <v>Mtr</v>
      </c>
      <c r="F20" s="517">
        <f>F17*35</f>
        <v>35</v>
      </c>
      <c r="G20" s="360">
        <f ca="1">IF(ISERROR(OFFSET('HARGA SATUAN'!$I$6,MATCH(RAB!C20,'HARGA SATUAN'!$C$7:$C$1492,0),0)),0,OFFSET('HARGA SATUAN'!$I$6,MATCH(RAB!C20,'HARGA SATUAN'!$C$7:$C$1492,0),0))</f>
        <v>13500</v>
      </c>
      <c r="H20" s="361">
        <f t="shared" ca="1" si="8"/>
        <v>472500</v>
      </c>
      <c r="I20" s="361">
        <f t="shared" ca="1" si="9"/>
        <v>0</v>
      </c>
      <c r="J20" s="361">
        <f t="shared" ca="1" si="10"/>
        <v>0</v>
      </c>
      <c r="K20" s="362">
        <f t="shared" ca="1" si="11"/>
        <v>472500</v>
      </c>
    </row>
    <row r="21" spans="2:11">
      <c r="B21" s="515">
        <v>4</v>
      </c>
      <c r="C21" s="516" t="s">
        <v>799</v>
      </c>
      <c r="D21" s="358" t="str">
        <f ca="1">IF(ISERROR(OFFSET('HARGA SATUAN'!$D$6,MATCH(RAB!C21,'HARGA SATUAN'!$C$7:$C$1492,0),0)),"",OFFSET('HARGA SATUAN'!$D$6,MATCH(RAB!C21,'HARGA SATUAN'!$C$7:$C$1492,0),0))</f>
        <v>JASA</v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517">
        <f>F17*1</f>
        <v>1</v>
      </c>
      <c r="G21" s="360">
        <f ca="1">IF(ISERROR(OFFSET('HARGA SATUAN'!$I$6,MATCH(RAB!C21,'HARGA SATUAN'!$C$7:$C$1492,0),0)),0,OFFSET('HARGA SATUAN'!$I$6,MATCH(RAB!C21,'HARGA SATUAN'!$C$7:$C$1492,0),0))</f>
        <v>106400</v>
      </c>
      <c r="H21" s="361">
        <f t="shared" ca="1" si="8"/>
        <v>0</v>
      </c>
      <c r="I21" s="361">
        <f t="shared" ca="1" si="9"/>
        <v>0</v>
      </c>
      <c r="J21" s="361">
        <f t="shared" ca="1" si="10"/>
        <v>106400</v>
      </c>
      <c r="K21" s="362">
        <f t="shared" ca="1" si="11"/>
        <v>106400</v>
      </c>
    </row>
    <row r="22" spans="2:11">
      <c r="B22" s="486"/>
      <c r="C22" s="487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502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" ca="1" si="12">IF(OR(D22="MDU",D22="MDU-KD"),(IF($O$3="RAB NON MDU","PLN KD",G22*F22)),0)</f>
        <v>0</v>
      </c>
      <c r="I22" s="361">
        <f t="shared" ref="I22" ca="1" si="13">IF(D22="HDW",G22*F22,0)</f>
        <v>0</v>
      </c>
      <c r="J22" s="361">
        <f t="shared" ref="J22" ca="1" si="14">IF(D22="JASA",G22*F22,0)</f>
        <v>0</v>
      </c>
      <c r="K22" s="362">
        <f t="shared" ref="K22" ca="1" si="15">SUM(H22:J22)</f>
        <v>0</v>
      </c>
    </row>
    <row r="23" spans="2:11">
      <c r="B23" s="500" t="s">
        <v>505</v>
      </c>
      <c r="C23" s="497" t="s">
        <v>1612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1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:H24" ca="1" si="16">IF(OR(D23="MDU",D23="MDU-KD"),(IF($O$3="RAB NON MDU","PLN KD",G23*F23)),0)</f>
        <v>0</v>
      </c>
      <c r="I23" s="361">
        <f t="shared" ref="I23:I24" ca="1" si="17">IF(D23="HDW",G23*F23,0)</f>
        <v>0</v>
      </c>
      <c r="J23" s="361">
        <f t="shared" ref="J23:J24" ca="1" si="18">IF(D23="JASA",G23*F23,0)</f>
        <v>0</v>
      </c>
      <c r="K23" s="362">
        <f t="shared" ref="K23:K24" ca="1" si="19">SUM(H23:J23)</f>
        <v>0</v>
      </c>
    </row>
    <row r="24" spans="2:11">
      <c r="B24" s="504">
        <v>1</v>
      </c>
      <c r="C24" s="109" t="s">
        <v>1459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Mtr</v>
      </c>
      <c r="F24" s="501">
        <v>110</v>
      </c>
      <c r="G24" s="360">
        <f ca="1">IF(ISERROR(OFFSET('HARGA SATUAN'!$I$6,MATCH(RAB!C24,'HARGA SATUAN'!$C$7:$C$1492,0),0)),0,OFFSET('HARGA SATUAN'!$I$6,MATCH(RAB!C24,'HARGA SATUAN'!$C$7:$C$1492,0),0))</f>
        <v>54500</v>
      </c>
      <c r="H24" s="361">
        <f t="shared" ca="1" si="16"/>
        <v>5995000</v>
      </c>
      <c r="I24" s="361">
        <f t="shared" ca="1" si="17"/>
        <v>0</v>
      </c>
      <c r="J24" s="361">
        <f t="shared" ca="1" si="18"/>
        <v>0</v>
      </c>
      <c r="K24" s="362">
        <f t="shared" ca="1" si="19"/>
        <v>5995000</v>
      </c>
    </row>
    <row r="25" spans="2:11">
      <c r="B25" s="504">
        <v>2</v>
      </c>
      <c r="C25" s="109" t="s">
        <v>346</v>
      </c>
      <c r="D25" s="358" t="str">
        <f ca="1">IF(ISERROR(OFFSET('HARGA SATUAN'!$D$6,MATCH(RAB!C25,'HARGA SATUAN'!$C$7:$C$1492,0),0)),"",OFFSET('HARGA SATUAN'!$D$6,MATCH(RAB!C25,'HARGA SATUAN'!$C$7:$C$1492,0),0))</f>
        <v>JASA</v>
      </c>
      <c r="E25" s="359" t="str">
        <f ca="1">IF(B25="+","Unit",IF(ISERROR(OFFSET('HARGA SATUAN'!$E$6,MATCH(RAB!C25,'HARGA SATUAN'!$C$7:$C$1492,0),0)),"",OFFSET('HARGA SATUAN'!$E$6,MATCH(RAB!C25,'HARGA SATUAN'!$C$7:$C$1492,0),0)))</f>
        <v>Per 50 m</v>
      </c>
      <c r="F25" s="501">
        <v>2</v>
      </c>
      <c r="G25" s="360">
        <f ca="1">IF(ISERROR(OFFSET('HARGA SATUAN'!$I$6,MATCH(RAB!C25,'HARGA SATUAN'!$C$7:$C$1492,0),0)),0,OFFSET('HARGA SATUAN'!$I$6,MATCH(RAB!C25,'HARGA SATUAN'!$C$7:$C$1492,0),0))</f>
        <v>223500</v>
      </c>
      <c r="H25" s="361">
        <f t="shared" ref="H25:H33" ca="1" si="20">IF(OR(D25="MDU",D25="MDU-KD"),(IF($O$3="RAB NON MDU","PLN KD",G25*F25)),0)</f>
        <v>0</v>
      </c>
      <c r="I25" s="361">
        <f t="shared" ref="I25:I33" ca="1" si="21">IF(D25="HDW",G25*F25,0)</f>
        <v>0</v>
      </c>
      <c r="J25" s="361">
        <f t="shared" ref="J25:J33" ca="1" si="22">IF(D25="JASA",G25*F25,0)</f>
        <v>447000</v>
      </c>
      <c r="K25" s="362">
        <f t="shared" ref="K25:K33" ca="1" si="23">SUM(H25:J25)</f>
        <v>447000</v>
      </c>
    </row>
    <row r="26" spans="2:11">
      <c r="B26" s="504">
        <v>3</v>
      </c>
      <c r="C26" s="109" t="s">
        <v>101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Btg</v>
      </c>
      <c r="F26" s="501">
        <v>2</v>
      </c>
      <c r="G26" s="360">
        <f ca="1">IF(ISERROR(OFFSET('HARGA SATUAN'!$I$6,MATCH(RAB!C26,'HARGA SATUAN'!$C$7:$C$1492,0),0)),0,OFFSET('HARGA SATUAN'!$I$6,MATCH(RAB!C26,'HARGA SATUAN'!$C$7:$C$1492,0),0))</f>
        <v>3382600</v>
      </c>
      <c r="H26" s="361">
        <f t="shared" ref="H26" ca="1" si="24">IF(OR(D26="MDU",D26="MDU-KD"),(IF($O$3="RAB NON MDU","PLN KD",G26*F26)),0)</f>
        <v>0</v>
      </c>
      <c r="I26" s="361">
        <f t="shared" ref="I26" ca="1" si="25">IF(D26="HDW",G26*F26,0)</f>
        <v>6765200</v>
      </c>
      <c r="J26" s="361">
        <f t="shared" ref="J26" ca="1" si="26">IF(D26="JASA",G26*F26,0)</f>
        <v>0</v>
      </c>
      <c r="K26" s="362">
        <f t="shared" ref="K26" ca="1" si="27">SUM(H26:J26)</f>
        <v>6765200</v>
      </c>
    </row>
    <row r="27" spans="2:11">
      <c r="B27" s="504"/>
      <c r="C27" s="109"/>
      <c r="D27" s="358"/>
      <c r="E27" s="359"/>
      <c r="F27" s="501"/>
      <c r="G27" s="360"/>
      <c r="H27" s="361"/>
      <c r="I27" s="361"/>
      <c r="J27" s="361"/>
      <c r="K27" s="362"/>
    </row>
    <row r="28" spans="2:11">
      <c r="B28" s="511" t="s">
        <v>1035</v>
      </c>
      <c r="C28" s="512" t="s">
        <v>1616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501">
        <v>4</v>
      </c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20"/>
        <v>0</v>
      </c>
      <c r="I28" s="361">
        <f t="shared" ca="1" si="21"/>
        <v>0</v>
      </c>
      <c r="J28" s="361">
        <f t="shared" ca="1" si="22"/>
        <v>0</v>
      </c>
      <c r="K28" s="362">
        <f t="shared" ca="1" si="23"/>
        <v>0</v>
      </c>
    </row>
    <row r="29" spans="2:11">
      <c r="B29" s="511">
        <v>1</v>
      </c>
      <c r="C29" s="512" t="s">
        <v>595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501">
        <f>F28*1</f>
        <v>4</v>
      </c>
      <c r="G29" s="360">
        <f ca="1">IF(ISERROR(OFFSET('HARGA SATUAN'!$I$6,MATCH(RAB!C29,'HARGA SATUAN'!$C$7:$C$1492,0),0)),0,OFFSET('HARGA SATUAN'!$I$6,MATCH(RAB!C29,'HARGA SATUAN'!$C$7:$C$1492,0),0))</f>
        <v>78500</v>
      </c>
      <c r="H29" s="361">
        <f t="shared" ca="1" si="20"/>
        <v>0</v>
      </c>
      <c r="I29" s="361">
        <f t="shared" ca="1" si="21"/>
        <v>314000</v>
      </c>
      <c r="J29" s="361">
        <f t="shared" ca="1" si="22"/>
        <v>0</v>
      </c>
      <c r="K29" s="362">
        <f t="shared" ca="1" si="23"/>
        <v>314000</v>
      </c>
    </row>
    <row r="30" spans="2:11">
      <c r="B30" s="511">
        <v>2</v>
      </c>
      <c r="C30" s="512" t="s">
        <v>229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1">
        <f>F28*1</f>
        <v>4</v>
      </c>
      <c r="G30" s="360">
        <f ca="1">IF(ISERROR(OFFSET('HARGA SATUAN'!$I$6,MATCH(RAB!C30,'HARGA SATUAN'!$C$7:$C$1492,0),0)),0,OFFSET('HARGA SATUAN'!$I$6,MATCH(RAB!C30,'HARGA SATUAN'!$C$7:$C$1492,0),0))</f>
        <v>4212</v>
      </c>
      <c r="H30" s="361">
        <f t="shared" ca="1" si="20"/>
        <v>0</v>
      </c>
      <c r="I30" s="361">
        <f t="shared" ca="1" si="21"/>
        <v>16848</v>
      </c>
      <c r="J30" s="361">
        <f t="shared" ca="1" si="22"/>
        <v>0</v>
      </c>
      <c r="K30" s="362">
        <f t="shared" ca="1" si="23"/>
        <v>16848</v>
      </c>
    </row>
    <row r="31" spans="2:11">
      <c r="B31" s="511">
        <v>3</v>
      </c>
      <c r="C31" s="512" t="s">
        <v>266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Mtr</v>
      </c>
      <c r="F31" s="501">
        <f>F28*1</f>
        <v>4</v>
      </c>
      <c r="G31" s="360">
        <f ca="1">IF(ISERROR(OFFSET('HARGA SATUAN'!$I$6,MATCH(RAB!C31,'HARGA SATUAN'!$C$7:$C$1492,0),0)),0,OFFSET('HARGA SATUAN'!$I$6,MATCH(RAB!C31,'HARGA SATUAN'!$C$7:$C$1492,0),0))</f>
        <v>23310</v>
      </c>
      <c r="H31" s="361">
        <f t="shared" ca="1" si="20"/>
        <v>0</v>
      </c>
      <c r="I31" s="361">
        <f t="shared" ca="1" si="21"/>
        <v>93240</v>
      </c>
      <c r="J31" s="361">
        <f t="shared" ca="1" si="22"/>
        <v>0</v>
      </c>
      <c r="K31" s="362">
        <f t="shared" ca="1" si="23"/>
        <v>93240</v>
      </c>
    </row>
    <row r="32" spans="2:11">
      <c r="B32" s="511">
        <v>4</v>
      </c>
      <c r="C32" s="512" t="s">
        <v>35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F28*1</f>
        <v>4</v>
      </c>
      <c r="G32" s="360">
        <f ca="1">IF(ISERROR(OFFSET('HARGA SATUAN'!$I$6,MATCH(RAB!C32,'HARGA SATUAN'!$C$7:$C$1492,0),0)),0,OFFSET('HARGA SATUAN'!$I$6,MATCH(RAB!C32,'HARGA SATUAN'!$C$7:$C$1492,0),0))</f>
        <v>2300</v>
      </c>
      <c r="H32" s="361">
        <f t="shared" ca="1" si="20"/>
        <v>0</v>
      </c>
      <c r="I32" s="361">
        <f t="shared" ca="1" si="21"/>
        <v>9200</v>
      </c>
      <c r="J32" s="361">
        <f t="shared" ca="1" si="22"/>
        <v>0</v>
      </c>
      <c r="K32" s="362">
        <f t="shared" ca="1" si="23"/>
        <v>9200</v>
      </c>
    </row>
    <row r="33" spans="2:11">
      <c r="B33" s="511">
        <v>5</v>
      </c>
      <c r="C33" s="512" t="s">
        <v>630</v>
      </c>
      <c r="D33" s="358" t="str">
        <f ca="1">IF(ISERROR(OFFSET('HARGA SATUAN'!$D$6,MATCH(RAB!C33,'HARGA SATUAN'!$C$7:$C$1492,0),0)),"",OFFSET('HARGA SATUAN'!$D$6,MATCH(RAB!C33,'HARGA SATUAN'!$C$7:$C$1492,0),0))</f>
        <v>JASA</v>
      </c>
      <c r="E33" s="359" t="str">
        <f ca="1">IF(B33="+","Unit",IF(ISERROR(OFFSET('HARGA SATUAN'!$E$6,MATCH(RAB!C33,'HARGA SATUAN'!$C$7:$C$1492,0),0)),"",OFFSET('HARGA SATUAN'!$E$6,MATCH(RAB!C33,'HARGA SATUAN'!$C$7:$C$1492,0),0)))</f>
        <v>Unit</v>
      </c>
      <c r="F33" s="501">
        <f>F28*1</f>
        <v>4</v>
      </c>
      <c r="G33" s="360">
        <f ca="1">IF(ISERROR(OFFSET('HARGA SATUAN'!$I$6,MATCH(RAB!C33,'HARGA SATUAN'!$C$7:$C$1492,0),0)),0,OFFSET('HARGA SATUAN'!$I$6,MATCH(RAB!C33,'HARGA SATUAN'!$C$7:$C$1492,0),0))</f>
        <v>35700</v>
      </c>
      <c r="H33" s="361">
        <f t="shared" ca="1" si="20"/>
        <v>0</v>
      </c>
      <c r="I33" s="361">
        <f t="shared" ca="1" si="21"/>
        <v>0</v>
      </c>
      <c r="J33" s="361">
        <f t="shared" ca="1" si="22"/>
        <v>142800</v>
      </c>
      <c r="K33" s="362">
        <f t="shared" ca="1" si="23"/>
        <v>142800</v>
      </c>
    </row>
    <row r="34" spans="2:11">
      <c r="B34" s="504"/>
      <c r="C34" s="109"/>
      <c r="D34" s="358" t="str">
        <f ca="1">IF(ISERROR(OFFSET('HARGA SATUAN'!$D$6,MATCH(RAB!C34,'HARGA SATUAN'!$C$7:$C$1492,0),0)),"",OFFSET('HARGA SATUAN'!$D$6,MATCH(RAB!C34,'HARGA SATUAN'!$C$7:$C$1492,0),0))</f>
        <v/>
      </c>
      <c r="E34" s="359" t="str">
        <f ca="1">IF(B34="+","Unit",IF(ISERROR(OFFSET('HARGA SATUAN'!$E$6,MATCH(RAB!C34,'HARGA SATUAN'!$C$7:$C$1492,0),0)),"",OFFSET('HARGA SATUAN'!$E$6,MATCH(RAB!C34,'HARGA SATUAN'!$C$7:$C$1492,0),0)))</f>
        <v/>
      </c>
      <c r="F34" s="501"/>
      <c r="G34" s="360">
        <f ca="1">IF(ISERROR(OFFSET('HARGA SATUAN'!$I$6,MATCH(RAB!C34,'HARGA SATUAN'!$C$7:$C$1492,0),0)),0,OFFSET('HARGA SATUAN'!$I$6,MATCH(RAB!C34,'HARGA SATUAN'!$C$7:$C$1492,0),0))</f>
        <v>0</v>
      </c>
      <c r="H34" s="361">
        <f t="shared" ref="H34:H43" ca="1" si="28">IF(OR(D34="MDU",D34="MDU-KD"),(IF($O$3="RAB NON MDU","PLN KD",G34*F34)),0)</f>
        <v>0</v>
      </c>
      <c r="I34" s="361">
        <f t="shared" ref="I34:I43" ca="1" si="29">IF(D34="HDW",G34*F34,0)</f>
        <v>0</v>
      </c>
      <c r="J34" s="361">
        <f t="shared" ref="J34:J43" ca="1" si="30">IF(D34="JASA",G34*F34,0)</f>
        <v>0</v>
      </c>
      <c r="K34" s="362">
        <f t="shared" ref="K34:K43" ca="1" si="31">SUM(H34:J34)</f>
        <v>0</v>
      </c>
    </row>
    <row r="35" spans="2:11">
      <c r="B35" s="500" t="s">
        <v>526</v>
      </c>
      <c r="C35" s="497" t="s">
        <v>1615</v>
      </c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/>
      </c>
      <c r="F35" s="501"/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ca="1" si="28"/>
        <v>0</v>
      </c>
      <c r="I35" s="361">
        <f t="shared" ca="1" si="29"/>
        <v>0</v>
      </c>
      <c r="J35" s="361">
        <f t="shared" ca="1" si="30"/>
        <v>0</v>
      </c>
      <c r="K35" s="362">
        <f t="shared" ca="1" si="31"/>
        <v>0</v>
      </c>
    </row>
    <row r="36" spans="2:11">
      <c r="B36" s="503" t="s">
        <v>1035</v>
      </c>
      <c r="C36" s="509" t="s">
        <v>1617</v>
      </c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501">
        <v>1</v>
      </c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ca="1" si="28"/>
        <v>0</v>
      </c>
      <c r="I36" s="361">
        <f t="shared" ca="1" si="29"/>
        <v>0</v>
      </c>
      <c r="J36" s="361">
        <f t="shared" ca="1" si="30"/>
        <v>0</v>
      </c>
      <c r="K36" s="362">
        <f t="shared" ca="1" si="31"/>
        <v>0</v>
      </c>
    </row>
    <row r="37" spans="2:11">
      <c r="B37" s="513">
        <v>1</v>
      </c>
      <c r="C37" s="514" t="s">
        <v>28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01">
        <v>1</v>
      </c>
      <c r="G37" s="360">
        <f ca="1">IF(ISERROR(OFFSET('HARGA SATUAN'!$I$6,MATCH(RAB!C37,'HARGA SATUAN'!$C$7:$C$1492,0),0)),0,OFFSET('HARGA SATUAN'!$I$6,MATCH(RAB!C37,'HARGA SATUAN'!$C$7:$C$1492,0),0))</f>
        <v>26500</v>
      </c>
      <c r="H37" s="361">
        <f t="shared" ca="1" si="28"/>
        <v>0</v>
      </c>
      <c r="I37" s="361">
        <f t="shared" ca="1" si="29"/>
        <v>26500</v>
      </c>
      <c r="J37" s="361">
        <f t="shared" ca="1" si="30"/>
        <v>0</v>
      </c>
      <c r="K37" s="362">
        <f t="shared" ca="1" si="31"/>
        <v>26500</v>
      </c>
    </row>
    <row r="38" spans="2:11">
      <c r="B38" s="513">
        <v>2</v>
      </c>
      <c r="C38" s="514" t="s">
        <v>203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v>1</v>
      </c>
      <c r="G38" s="360">
        <f ca="1">IF(ISERROR(OFFSET('HARGA SATUAN'!$I$6,MATCH(RAB!C38,'HARGA SATUAN'!$C$7:$C$1492,0),0)),0,OFFSET('HARGA SATUAN'!$I$6,MATCH(RAB!C38,'HARGA SATUAN'!$C$7:$C$1492,0),0))</f>
        <v>12500</v>
      </c>
      <c r="H38" s="361">
        <f t="shared" ca="1" si="28"/>
        <v>0</v>
      </c>
      <c r="I38" s="361">
        <f t="shared" ca="1" si="29"/>
        <v>12500</v>
      </c>
      <c r="J38" s="361">
        <f t="shared" ca="1" si="30"/>
        <v>0</v>
      </c>
      <c r="K38" s="362">
        <f t="shared" ca="1" si="31"/>
        <v>12500</v>
      </c>
    </row>
    <row r="39" spans="2:11">
      <c r="B39" s="513">
        <v>3</v>
      </c>
      <c r="C39" s="514" t="s">
        <v>205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Mtr</v>
      </c>
      <c r="F39" s="501">
        <v>12</v>
      </c>
      <c r="G39" s="360">
        <f ca="1">IF(ISERROR(OFFSET('HARGA SATUAN'!$I$6,MATCH(RAB!C39,'HARGA SATUAN'!$C$7:$C$1492,0),0)),0,OFFSET('HARGA SATUAN'!$I$6,MATCH(RAB!C39,'HARGA SATUAN'!$C$7:$C$1492,0),0))</f>
        <v>24300</v>
      </c>
      <c r="H39" s="361">
        <f t="shared" ca="1" si="28"/>
        <v>0</v>
      </c>
      <c r="I39" s="361">
        <f t="shared" ca="1" si="29"/>
        <v>291600</v>
      </c>
      <c r="J39" s="361">
        <f t="shared" ca="1" si="30"/>
        <v>0</v>
      </c>
      <c r="K39" s="362">
        <f t="shared" ca="1" si="31"/>
        <v>291600</v>
      </c>
    </row>
    <row r="40" spans="2:11">
      <c r="B40" s="513">
        <v>4</v>
      </c>
      <c r="C40" s="514" t="s">
        <v>287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1">
        <v>1</v>
      </c>
      <c r="G40" s="360">
        <f ca="1">IF(ISERROR(OFFSET('HARGA SATUAN'!$I$6,MATCH(RAB!C40,'HARGA SATUAN'!$C$7:$C$1492,0),0)),0,OFFSET('HARGA SATUAN'!$I$6,MATCH(RAB!C40,'HARGA SATUAN'!$C$7:$C$1492,0),0))</f>
        <v>40000</v>
      </c>
      <c r="H40" s="361">
        <f t="shared" ca="1" si="28"/>
        <v>0</v>
      </c>
      <c r="I40" s="361">
        <f t="shared" ca="1" si="29"/>
        <v>40000</v>
      </c>
      <c r="J40" s="361">
        <f t="shared" ca="1" si="30"/>
        <v>0</v>
      </c>
      <c r="K40" s="362">
        <f t="shared" ca="1" si="31"/>
        <v>40000</v>
      </c>
    </row>
    <row r="41" spans="2:11">
      <c r="B41" s="513">
        <v>5</v>
      </c>
      <c r="C41" s="514" t="s">
        <v>26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01">
        <v>1</v>
      </c>
      <c r="G41" s="360">
        <f ca="1">IF(ISERROR(OFFSET('HARGA SATUAN'!$I$6,MATCH(RAB!C41,'HARGA SATUAN'!$C$7:$C$1492,0),0)),0,OFFSET('HARGA SATUAN'!$I$6,MATCH(RAB!C41,'HARGA SATUAN'!$C$7:$C$1492,0),0))</f>
        <v>2500</v>
      </c>
      <c r="H41" s="361">
        <f t="shared" ca="1" si="28"/>
        <v>0</v>
      </c>
      <c r="I41" s="361">
        <f t="shared" ca="1" si="29"/>
        <v>2500</v>
      </c>
      <c r="J41" s="361">
        <f t="shared" ca="1" si="30"/>
        <v>0</v>
      </c>
      <c r="K41" s="362">
        <f t="shared" ca="1" si="31"/>
        <v>2500</v>
      </c>
    </row>
    <row r="42" spans="2:11">
      <c r="B42" s="513">
        <v>6</v>
      </c>
      <c r="C42" s="514" t="s">
        <v>759</v>
      </c>
      <c r="D42" s="358" t="str">
        <f ca="1">IF(ISERROR(OFFSET('HARGA SATUAN'!$D$6,MATCH(RAB!C42,'HARGA SATUAN'!$C$7:$C$1492,0),0)),"",OFFSET('HARGA SATUAN'!$D$6,MATCH(RAB!C42,'HARGA SATUAN'!$C$7:$C$1492,0),0))</f>
        <v>JASA</v>
      </c>
      <c r="E42" s="359" t="str">
        <f ca="1">IF(B42="+","Unit",IF(ISERROR(OFFSET('HARGA SATUAN'!$E$6,MATCH(RAB!C42,'HARGA SATUAN'!$C$7:$C$1492,0),0)),"",OFFSET('HARGA SATUAN'!$E$6,MATCH(RAB!C42,'HARGA SATUAN'!$C$7:$C$1492,0),0)))</f>
        <v>Unit</v>
      </c>
      <c r="F42" s="501">
        <v>1</v>
      </c>
      <c r="G42" s="360">
        <f ca="1">IF(ISERROR(OFFSET('HARGA SATUAN'!$I$6,MATCH(RAB!C42,'HARGA SATUAN'!$C$7:$C$1492,0),0)),0,OFFSET('HARGA SATUAN'!$I$6,MATCH(RAB!C42,'HARGA SATUAN'!$C$7:$C$1492,0),0))</f>
        <v>43500</v>
      </c>
      <c r="H42" s="361">
        <f t="shared" ca="1" si="28"/>
        <v>0</v>
      </c>
      <c r="I42" s="361">
        <f t="shared" ca="1" si="29"/>
        <v>0</v>
      </c>
      <c r="J42" s="361">
        <f t="shared" ca="1" si="30"/>
        <v>43500</v>
      </c>
      <c r="K42" s="362">
        <f t="shared" ca="1" si="31"/>
        <v>43500</v>
      </c>
    </row>
    <row r="43" spans="2:11">
      <c r="B43" s="500"/>
      <c r="C43" s="497"/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/>
      </c>
      <c r="F43" s="501"/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28"/>
        <v>0</v>
      </c>
      <c r="I43" s="361">
        <f t="shared" ca="1" si="29"/>
        <v>0</v>
      </c>
      <c r="J43" s="361">
        <f t="shared" ca="1" si="30"/>
        <v>0</v>
      </c>
      <c r="K43" s="362">
        <f t="shared" ca="1" si="31"/>
        <v>0</v>
      </c>
    </row>
    <row r="44" spans="2:11">
      <c r="B44" s="513" t="s">
        <v>1035</v>
      </c>
      <c r="C44" s="514" t="s">
        <v>1618</v>
      </c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>Unit</v>
      </c>
      <c r="F44" s="501">
        <v>1</v>
      </c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ref="H44:H48" ca="1" si="32">IF(OR(D44="MDU",D44="MDU-KD"),(IF($O$3="RAB NON MDU","PLN KD",G44*F44)),0)</f>
        <v>0</v>
      </c>
      <c r="I44" s="361">
        <f t="shared" ref="I44:I48" ca="1" si="33">IF(D44="HDW",G44*F44,0)</f>
        <v>0</v>
      </c>
      <c r="J44" s="361">
        <f t="shared" ref="J44:J48" ca="1" si="34">IF(D44="JASA",G44*F44,0)</f>
        <v>0</v>
      </c>
      <c r="K44" s="362">
        <f t="shared" ref="K44:K48" ca="1" si="35">SUM(H44:J44)</f>
        <v>0</v>
      </c>
    </row>
    <row r="45" spans="2:11">
      <c r="B45" s="513">
        <v>1</v>
      </c>
      <c r="C45" s="514" t="s">
        <v>262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01">
        <v>1</v>
      </c>
      <c r="G45" s="360">
        <f ca="1">IF(ISERROR(OFFSET('HARGA SATUAN'!$I$6,MATCH(RAB!C45,'HARGA SATUAN'!$C$7:$C$1492,0),0)),0,OFFSET('HARGA SATUAN'!$I$6,MATCH(RAB!C45,'HARGA SATUAN'!$C$7:$C$1492,0),0))</f>
        <v>104200</v>
      </c>
      <c r="H45" s="361">
        <f t="shared" ca="1" si="32"/>
        <v>0</v>
      </c>
      <c r="I45" s="361">
        <f t="shared" ca="1" si="33"/>
        <v>104200</v>
      </c>
      <c r="J45" s="361">
        <f t="shared" ca="1" si="34"/>
        <v>0</v>
      </c>
      <c r="K45" s="362">
        <f t="shared" ca="1" si="35"/>
        <v>104200</v>
      </c>
    </row>
    <row r="46" spans="2:11">
      <c r="B46" s="513">
        <v>2</v>
      </c>
      <c r="C46" s="514" t="s">
        <v>596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1">
        <v>1</v>
      </c>
      <c r="G46" s="360">
        <f ca="1">IF(ISERROR(OFFSET('HARGA SATUAN'!$I$6,MATCH(RAB!C46,'HARGA SATUAN'!$C$7:$C$1492,0),0)),0,OFFSET('HARGA SATUAN'!$I$6,MATCH(RAB!C46,'HARGA SATUAN'!$C$7:$C$1492,0),0))</f>
        <v>120000</v>
      </c>
      <c r="H46" s="361">
        <f t="shared" ca="1" si="32"/>
        <v>0</v>
      </c>
      <c r="I46" s="361">
        <f t="shared" ca="1" si="33"/>
        <v>120000</v>
      </c>
      <c r="J46" s="361">
        <f t="shared" ca="1" si="34"/>
        <v>0</v>
      </c>
      <c r="K46" s="362">
        <f t="shared" ca="1" si="35"/>
        <v>120000</v>
      </c>
    </row>
    <row r="47" spans="2:11">
      <c r="B47" s="513">
        <v>4</v>
      </c>
      <c r="C47" s="514" t="s">
        <v>214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01">
        <v>1</v>
      </c>
      <c r="G47" s="360">
        <f ca="1">IF(ISERROR(OFFSET('HARGA SATUAN'!$I$6,MATCH(RAB!C47,'HARGA SATUAN'!$C$7:$C$1492,0),0)),0,OFFSET('HARGA SATUAN'!$I$6,MATCH(RAB!C47,'HARGA SATUAN'!$C$7:$C$1492,0),0))</f>
        <v>4500</v>
      </c>
      <c r="H47" s="361">
        <f t="shared" ca="1" si="32"/>
        <v>0</v>
      </c>
      <c r="I47" s="361">
        <f t="shared" ca="1" si="33"/>
        <v>4500</v>
      </c>
      <c r="J47" s="361">
        <f t="shared" ca="1" si="34"/>
        <v>0</v>
      </c>
      <c r="K47" s="362">
        <f t="shared" ca="1" si="35"/>
        <v>4500</v>
      </c>
    </row>
    <row r="48" spans="2:11">
      <c r="B48" s="513">
        <v>3</v>
      </c>
      <c r="C48" s="514" t="s">
        <v>767</v>
      </c>
      <c r="D48" s="358" t="str">
        <f ca="1">IF(ISERROR(OFFSET('HARGA SATUAN'!$D$6,MATCH(RAB!C48,'HARGA SATUAN'!$C$7:$C$1492,0),0)),"",OFFSET('HARGA SATUAN'!$D$6,MATCH(RAB!C48,'HARGA SATUAN'!$C$7:$C$1492,0),0))</f>
        <v>JASA</v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501">
        <v>1</v>
      </c>
      <c r="G48" s="360">
        <f ca="1">IF(ISERROR(OFFSET('HARGA SATUAN'!$I$6,MATCH(RAB!C48,'HARGA SATUAN'!$C$7:$C$1492,0),0)),0,OFFSET('HARGA SATUAN'!$I$6,MATCH(RAB!C48,'HARGA SATUAN'!$C$7:$C$1492,0),0))</f>
        <v>55500</v>
      </c>
      <c r="H48" s="361">
        <f t="shared" ca="1" si="32"/>
        <v>0</v>
      </c>
      <c r="I48" s="361">
        <f t="shared" ca="1" si="33"/>
        <v>0</v>
      </c>
      <c r="J48" s="361">
        <f t="shared" ca="1" si="34"/>
        <v>55500</v>
      </c>
      <c r="K48" s="362">
        <f t="shared" ca="1" si="35"/>
        <v>55500</v>
      </c>
    </row>
    <row r="49" spans="2:13">
      <c r="B49" s="504"/>
      <c r="C49" s="109"/>
      <c r="D49" s="358"/>
      <c r="E49" s="359"/>
      <c r="F49" s="501"/>
      <c r="G49" s="360"/>
      <c r="H49" s="361"/>
      <c r="I49" s="361"/>
      <c r="J49" s="361"/>
      <c r="K49" s="362"/>
    </row>
    <row r="50" spans="2:13">
      <c r="B50" s="506"/>
      <c r="C50" s="507"/>
      <c r="D50" s="358"/>
      <c r="E50" s="359"/>
      <c r="F50" s="501"/>
      <c r="G50" s="360"/>
      <c r="H50" s="361"/>
      <c r="I50" s="361"/>
      <c r="J50" s="361"/>
      <c r="K50" s="362"/>
    </row>
    <row r="51" spans="2:13">
      <c r="B51" s="367"/>
      <c r="C51" s="109"/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/>
      </c>
      <c r="F51" s="501"/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ref="H51" ca="1" si="36">IF(OR(D51="MDU",D51="MDU-KD"),(IF($O$3="RAB NON MDU","PLN KD",G51*F51)),0)</f>
        <v>0</v>
      </c>
      <c r="I51" s="361">
        <f t="shared" ref="I51" ca="1" si="37">IF(D51="HDW",G51*F51,0)</f>
        <v>0</v>
      </c>
      <c r="J51" s="361">
        <f t="shared" ref="J51" ca="1" si="38">IF(D51="JASA",G51*F51,0)</f>
        <v>0</v>
      </c>
      <c r="K51" s="362">
        <f t="shared" ref="K51" ca="1" si="39">SUM(H51:J51)</f>
        <v>0</v>
      </c>
    </row>
    <row r="52" spans="2:13">
      <c r="B52" s="368"/>
      <c r="C52" s="369" t="s">
        <v>475</v>
      </c>
      <c r="D52" s="358" t="str">
        <f ca="1">IF(ISERROR(OFFSET('HARGA SATUAN'!$D$6,MATCH(RAB!C52,'HARGA SATUAN'!$C$7:$C$1492,0),0)),"",OFFSET('HARGA SATUAN'!$D$6,MATCH(RAB!C52,'HARGA SATUAN'!$C$7:$C$1492,0),0))</f>
        <v/>
      </c>
      <c r="E52" s="359" t="str">
        <f ca="1">IF(B52="+","Unit",IF(ISERROR(OFFSET('HARGA SATUAN'!$E$6,MATCH(RAB!C52,'HARGA SATUAN'!$C$7:$C$1492,0),0)),"",OFFSET('HARGA SATUAN'!$E$6,MATCH(RAB!C52,'HARGA SATUAN'!$C$7:$C$1492,0),0)))</f>
        <v/>
      </c>
      <c r="F52" s="472"/>
      <c r="G52" s="360">
        <f ca="1">IF(ISERROR(OFFSET('HARGA SATUAN'!$I$6,MATCH(RAB!C52,'HARGA SATUAN'!$C$7:$C$1492,0),0)),0,OFFSET('HARGA SATUAN'!$I$6,MATCH(RAB!C52,'HARGA SATUAN'!$C$7:$C$1492,0),0))</f>
        <v>0</v>
      </c>
      <c r="H52" s="361">
        <f t="shared" ref="H52" ca="1" si="40">IF(OR(D52="MDU",D52="MDU-KD"),(IF($O$3="RAB NON MDU","PLN KD",G52*F52)),0)</f>
        <v>0</v>
      </c>
      <c r="I52" s="361">
        <f t="shared" ref="I52" ca="1" si="41">IF(D52="HDW",G52*F52,0)</f>
        <v>0</v>
      </c>
      <c r="J52" s="361">
        <f t="shared" ref="J52" ca="1" si="42">IF(D52="JASA",G52*F52,0)</f>
        <v>0</v>
      </c>
      <c r="K52" s="362">
        <f t="shared" ref="K52" ca="1" si="43">SUM(H52:J52)</f>
        <v>0</v>
      </c>
    </row>
    <row r="53" spans="2:13">
      <c r="B53" s="371">
        <v>1</v>
      </c>
      <c r="C53" s="372" t="s">
        <v>1091</v>
      </c>
      <c r="D53" s="373" t="str">
        <f ca="1">IF(ISERROR(OFFSET('HARGA SATUAN'!$D$6,MATCH(RAB!C53,'HARGA SATUAN'!$C$7:$C$1492,0),0)),"",OFFSET('HARGA SATUAN'!$D$6,MATCH(RAB!C53,'HARGA SATUAN'!$C$7:$C$1492,0),0))</f>
        <v>JASA</v>
      </c>
      <c r="E53" s="374" t="str">
        <f ca="1">IF(ISERROR(OFFSET('HARGA SATUAN'!$E$6,MATCH(RAB!C53,'HARGA SATUAN'!$C$7:$C$1492,0),0)),"",OFFSET('HARGA SATUAN'!$E$6,MATCH(RAB!C53,'HARGA SATUAN'!$C$7:$C$1492,0),0))</f>
        <v>Lot</v>
      </c>
      <c r="F53" s="375">
        <v>1</v>
      </c>
      <c r="G53" s="376">
        <f ca="1">IF(ISERROR(OFFSET('HARGA SATUAN'!$I$6,MATCH(RAB!C53,'HARGA SATUAN'!$C$7:$C$1492,0),0)),0,OFFSET('HARGA SATUAN'!$I$6,MATCH(RAB!C53,'HARGA SATUAN'!$C$7:$C$1492,0),0))</f>
        <v>2.5000000000000001E-2</v>
      </c>
      <c r="H53" s="377"/>
      <c r="I53" s="377"/>
      <c r="J53" s="377">
        <f ca="1">2.5%*(SUM(K14:K52))</f>
        <v>501382.2</v>
      </c>
      <c r="K53" s="378">
        <f ca="1">SUM(H53:J53)</f>
        <v>501382.2</v>
      </c>
    </row>
    <row r="54" spans="2:13">
      <c r="B54" s="379"/>
      <c r="C54" s="380"/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IF(ISERROR(OFFSET('HARGA SATUAN'!$E$6,MATCH(RAB!C54,'HARGA SATUAN'!$C$7:$C$1492,0),0)),"",OFFSET('HARGA SATUAN'!$E$6,MATCH(RAB!C54,'HARGA SATUAN'!$C$7:$C$1492,0),0))</f>
        <v/>
      </c>
      <c r="F54" s="370"/>
      <c r="G54" s="360" t="str">
        <f ca="1">IF(ISERROR(OFFSET('HARGA SATUAN'!$I$6,MATCH(RAB!C54,'HARGA SATUAN'!$C$7:$C$1492,0),0)),"",OFFSET('HARGA SATUAN'!$I$6,MATCH(RAB!C54,'HARGA SATUAN'!$C$7:$C$1492,0),0))</f>
        <v/>
      </c>
      <c r="H54" s="361">
        <f ca="1">IF(OR(D54="MDU",D54="MDU-KD"),IF(G54="PLN",0,G54*F54),0)</f>
        <v>0</v>
      </c>
      <c r="I54" s="361">
        <f ca="1">IF(D54="HDW",IF(G54="PLN",0,G54*F54),0)</f>
        <v>0</v>
      </c>
      <c r="J54" s="361">
        <f ca="1">IF(D54="JASA",IF(G54="PLN",0,G54*F54),0)</f>
        <v>0</v>
      </c>
      <c r="K54" s="362">
        <f ca="1">SUM(H54:J54)</f>
        <v>0</v>
      </c>
    </row>
    <row r="55" spans="2:13" ht="15.75" thickBot="1">
      <c r="B55" s="381"/>
      <c r="C55" s="382"/>
      <c r="D55" s="383"/>
      <c r="E55" s="384"/>
      <c r="F55" s="384"/>
      <c r="G55" s="384"/>
      <c r="H55" s="385"/>
      <c r="I55" s="385"/>
      <c r="J55" s="385"/>
      <c r="K55" s="386"/>
    </row>
    <row r="56" spans="2:13">
      <c r="B56" s="387"/>
      <c r="C56" s="616" t="s">
        <v>1008</v>
      </c>
      <c r="D56" s="616"/>
      <c r="E56" s="616"/>
      <c r="F56" s="616"/>
      <c r="G56" s="388" t="s">
        <v>9</v>
      </c>
      <c r="H56" s="389">
        <f ca="1">SUM(H14:H54)</f>
        <v>11459800</v>
      </c>
      <c r="I56" s="389">
        <f ca="1">SUM(I14:I54)</f>
        <v>7800288</v>
      </c>
      <c r="J56" s="389">
        <f ca="1">SUM(J14:J54)</f>
        <v>1296582.2</v>
      </c>
      <c r="K56" s="389">
        <f ca="1">SUM(K14:K54)</f>
        <v>20556670.199999999</v>
      </c>
    </row>
    <row r="57" spans="2:13">
      <c r="B57" s="390"/>
      <c r="C57" s="633" t="s">
        <v>1457</v>
      </c>
      <c r="D57" s="633"/>
      <c r="E57" s="633"/>
      <c r="F57" s="633"/>
      <c r="G57" s="391" t="s">
        <v>9</v>
      </c>
      <c r="H57" s="392">
        <f ca="1">H56*0.11</f>
        <v>1260578</v>
      </c>
      <c r="I57" s="392">
        <f ca="1">I56*0.11</f>
        <v>858031.68</v>
      </c>
      <c r="J57" s="392">
        <f ca="1">J56*0.11</f>
        <v>142624.04199999999</v>
      </c>
      <c r="K57" s="392">
        <f ca="1">K56*0.11</f>
        <v>2261233.7220000001</v>
      </c>
    </row>
    <row r="58" spans="2:13" ht="15.75" thickBot="1">
      <c r="B58" s="390"/>
      <c r="C58" s="630" t="s">
        <v>463</v>
      </c>
      <c r="D58" s="630"/>
      <c r="E58" s="630"/>
      <c r="F58" s="630"/>
      <c r="G58" s="393" t="s">
        <v>9</v>
      </c>
      <c r="H58" s="394">
        <f ca="1">SUM(H56:H57)</f>
        <v>12720378</v>
      </c>
      <c r="I58" s="394">
        <f ca="1">SUM(I56:I57)</f>
        <v>8658319.6799999997</v>
      </c>
      <c r="J58" s="393">
        <f ca="1">SUM(J56:J57)</f>
        <v>1439206.2419999999</v>
      </c>
      <c r="K58" s="393">
        <f ca="1">SUM(K56:K57)</f>
        <v>22817903.921999998</v>
      </c>
      <c r="M58" s="477"/>
    </row>
    <row r="59" spans="2:13">
      <c r="B59" s="634" t="str">
        <f ca="1">"Terbilang : "&amp;PROPER(IF(K58=0,"nol",IF(K58&lt;0,"minus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IF(--MID(TEXT(ABS(K58),"000000000000000"),1,3)=0,"",MID(TEXT(ABS(K58),"000000000000000"),1,1)&amp;" ratus "&amp;MID(TEXT(ABS(K58),"000000000000000"),2,1)&amp;" puluh "&amp;MID(TEXT(ABS(K58),"000000000000000"),3,1)&amp;" trilyun ")&amp; IF(--MID(TEXT(ABS(K58),"000000000000000"),4,3)=0,"",MID(TEXT(ABS(K58),"000000000000000"),4,1)&amp;" ratus "&amp;MID(TEXT(ABS(K58),"000000000000000"),5,1)&amp;" puluh "&amp;MID(TEXT(ABS(K58),"000000000000000"),6,1)&amp;" milyar ")&amp; IF(--MID(TEXT(ABS(K58),"000000000000000"),7,3)=0,"",MID(TEXT(ABS(K58),"000000000000000"),7,1)&amp;" ratus "&amp;MID(TEXT(ABS(K58),"000000000000000"),8,1)&amp;" puluh "&amp;MID(TEXT(ABS(K58),"000000000000000"),9,1)&amp;" juta ")&amp; IF(--MID(TEXT(ABS(K58),"000000000000000"),10,3)=0,"",IF(--MID(TEXT(ABS(K58),"000000000000000"),10,3)=1,"*",MID(TEXT(ABS(K58),"000000000000000"),10,1)&amp;" ratus "&amp;MID(TEXT(ABS(K58),"000000000000000"),11,1)&amp;" puluh ")&amp;MID(TEXT(ABS(K58),"000000000000000"),12,1)&amp;" ribu ")&amp; IF(--MID(TEXT(ABS(K58),"000000000000000"),13,3)=0,"",MID(TEXT(ABS(K58),"000000000000000"),13,1)&amp;" ratus "&amp;MID(TEXT(ABS(K58),"000000000000000"),14,1)&amp;" puluh "&amp;MID(TEXT(ABS(K58),"000000000000000"),15,1)),1,"satu"),2,"dua"),3,"tiga"),4,"empat"),5,"lima"),6,"enam"),7,"tujuh"),8,"delapan"),9,"sembilan"),"0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Dua Juta Delapan Ratus Tujuh Belas Ribu Sembilan Ratus Empat Rupiah</v>
      </c>
      <c r="C59" s="635"/>
      <c r="D59" s="635"/>
      <c r="E59" s="635"/>
      <c r="F59" s="635"/>
      <c r="G59" s="635"/>
      <c r="H59" s="635"/>
      <c r="I59" s="635"/>
      <c r="J59" s="635"/>
      <c r="K59" s="636"/>
      <c r="M59" s="505"/>
    </row>
    <row r="60" spans="2:13">
      <c r="B60" s="637"/>
      <c r="C60" s="638"/>
      <c r="D60" s="638"/>
      <c r="E60" s="638"/>
      <c r="F60" s="638"/>
      <c r="G60" s="638"/>
      <c r="H60" s="638"/>
      <c r="I60" s="638"/>
      <c r="J60" s="638"/>
      <c r="K60" s="639"/>
    </row>
    <row r="61" spans="2:13" ht="15.75" thickBot="1">
      <c r="B61" s="395" t="str">
        <f>"Harga yang dipakai adalah "&amp;'HARGA SATUAN'!I5&amp;""</f>
        <v>Harga yang dipakai adalah RAB HSS 2023</v>
      </c>
      <c r="C61" s="396"/>
      <c r="D61" s="397"/>
      <c r="E61" s="397"/>
      <c r="F61" s="397"/>
      <c r="G61" s="398"/>
      <c r="H61" s="398"/>
      <c r="I61" s="398"/>
      <c r="J61" s="398"/>
      <c r="K61" s="399"/>
    </row>
    <row r="62" spans="2:13">
      <c r="C62" s="400"/>
      <c r="E62" s="402"/>
      <c r="F62" s="402"/>
      <c r="G62" s="402"/>
    </row>
    <row r="63" spans="2:13">
      <c r="C63" s="337"/>
      <c r="E63" s="402"/>
      <c r="F63" s="402"/>
      <c r="G63" s="402"/>
      <c r="H63" s="640"/>
      <c r="I63" s="640"/>
      <c r="J63" s="641"/>
      <c r="K63" s="641"/>
    </row>
    <row r="64" spans="2:13">
      <c r="C64" s="337"/>
      <c r="E64" s="402"/>
      <c r="F64" s="402"/>
      <c r="G64" s="402"/>
      <c r="H64" s="403"/>
      <c r="I64" s="629" t="s">
        <v>1619</v>
      </c>
      <c r="J64" s="629"/>
      <c r="K64" s="629"/>
    </row>
    <row r="65" spans="3:11">
      <c r="C65" s="337"/>
      <c r="E65" s="402"/>
      <c r="F65" s="402"/>
      <c r="G65" s="402"/>
      <c r="H65" s="403"/>
      <c r="I65" s="629" t="s">
        <v>1609</v>
      </c>
      <c r="J65" s="629"/>
      <c r="K65" s="629"/>
    </row>
    <row r="66" spans="3:11">
      <c r="C66" s="337"/>
      <c r="E66" s="402"/>
      <c r="F66" s="402"/>
      <c r="G66" s="402"/>
      <c r="H66" s="404"/>
      <c r="I66" s="405"/>
      <c r="J66" s="405"/>
      <c r="K66" s="405"/>
    </row>
    <row r="67" spans="3:11">
      <c r="C67" s="337"/>
      <c r="E67" s="402"/>
      <c r="F67" s="402"/>
      <c r="G67" s="402"/>
      <c r="H67" s="404"/>
      <c r="I67" s="404"/>
      <c r="J67" s="404"/>
      <c r="K67" s="404"/>
    </row>
    <row r="68" spans="3:11">
      <c r="C68" s="337"/>
      <c r="E68" s="402"/>
      <c r="F68" s="402"/>
      <c r="G68" s="402"/>
      <c r="H68" s="404"/>
      <c r="I68" s="404"/>
      <c r="J68" s="404"/>
      <c r="K68" s="404"/>
    </row>
    <row r="69" spans="3:11">
      <c r="C69" s="337"/>
      <c r="E69" s="402"/>
      <c r="F69" s="402"/>
      <c r="G69" s="402"/>
      <c r="H69" s="404"/>
      <c r="I69" s="404"/>
      <c r="J69" s="404"/>
      <c r="K69" s="404"/>
    </row>
    <row r="70" spans="3:11">
      <c r="C70" s="337"/>
      <c r="E70" s="402"/>
      <c r="F70" s="402"/>
      <c r="G70" s="402"/>
      <c r="H70" s="406"/>
      <c r="I70" s="629" t="s">
        <v>1611</v>
      </c>
      <c r="J70" s="629"/>
      <c r="K70" s="629"/>
    </row>
    <row r="71" spans="3:11">
      <c r="C71" s="400"/>
      <c r="E71" s="402"/>
      <c r="F71" s="402"/>
      <c r="G71" s="402"/>
      <c r="H71" s="404"/>
      <c r="I71" s="404"/>
      <c r="J71" s="404"/>
      <c r="K71" s="404"/>
    </row>
    <row r="72" spans="3:11">
      <c r="C72" s="400"/>
      <c r="E72" s="402"/>
      <c r="F72" s="402"/>
      <c r="G72" s="402"/>
      <c r="H72" s="404"/>
      <c r="I72" s="404"/>
      <c r="J72" s="404"/>
      <c r="K72" s="404"/>
    </row>
    <row r="73" spans="3:11">
      <c r="C73" s="400"/>
      <c r="E73" s="402"/>
      <c r="F73" s="402"/>
      <c r="G73" s="402"/>
      <c r="H73" s="404"/>
      <c r="I73" s="404"/>
      <c r="J73" s="404"/>
      <c r="K73" s="404"/>
    </row>
  </sheetData>
  <sheetProtection sort="0" autoFilter="0"/>
  <protectedRanges>
    <protectedRange sqref="B51" name="Range1_1"/>
    <protectedRange sqref="F14" name="Range1_1_2_2"/>
    <protectedRange sqref="C51" name="Range1_1_3_12"/>
    <protectedRange sqref="B17:B21" name="Range1_1_4"/>
    <protectedRange sqref="B15:C16 B23:C23 B35:C35" name="Range1_6_2"/>
    <protectedRange sqref="C17 C19:C20" name="Range1_3"/>
    <protectedRange sqref="F16:F51" name="Range1_1_3_1_1"/>
    <protectedRange sqref="F15" name="Range1_1_2_2_3_2"/>
    <protectedRange sqref="B24:B34 B49:B50" name="Range1_6_2_2"/>
    <protectedRange sqref="C50" name="Range1_6_2_2_2_1"/>
    <protectedRange sqref="C28:C34 C49" name="Range1_1_3_2"/>
    <protectedRange sqref="C25 C27" name="Range1_1_3_3"/>
    <protectedRange sqref="C24 C21" name="Range1_1_3_4"/>
    <protectedRange sqref="C18" name="Range1_1_3"/>
    <protectedRange sqref="C26" name="Range1_1_3_1"/>
    <protectedRange sqref="B36:C48" name="Range1_6_2_1"/>
  </protectedRanges>
  <mergeCells count="22">
    <mergeCell ref="I65:K65"/>
    <mergeCell ref="I70:K70"/>
    <mergeCell ref="C58:F58"/>
    <mergeCell ref="G6:K6"/>
    <mergeCell ref="I64:K64"/>
    <mergeCell ref="C57:F57"/>
    <mergeCell ref="B59:K60"/>
    <mergeCell ref="H63:K63"/>
    <mergeCell ref="H11:K11"/>
    <mergeCell ref="H12:H13"/>
    <mergeCell ref="J12:J13"/>
    <mergeCell ref="K12:K13"/>
    <mergeCell ref="O3:P4"/>
    <mergeCell ref="B4:K4"/>
    <mergeCell ref="C56:F56"/>
    <mergeCell ref="B11:B13"/>
    <mergeCell ref="C11:C13"/>
    <mergeCell ref="D11:D13"/>
    <mergeCell ref="E11:E13"/>
    <mergeCell ref="F11:F13"/>
    <mergeCell ref="G11:G13"/>
    <mergeCell ref="I12:I13"/>
  </mergeCells>
  <phoneticPr fontId="138" type="noConversion"/>
  <conditionalFormatting sqref="E52:K52 E26:K26 F27 F49 F23:F25 G15:K25 E15:E25 G27:K51 E27:E51">
    <cfRule type="cellIs" dxfId="14" priority="105" stopIfTrue="1" operator="equal">
      <formula>0</formula>
    </cfRule>
  </conditionalFormatting>
  <conditionalFormatting sqref="C51 C34 C27 C49">
    <cfRule type="cellIs" dxfId="13" priority="124" operator="equal">
      <formula>0</formula>
    </cfRule>
  </conditionalFormatting>
  <conditionalFormatting sqref="E1:E3 G1:G13 E5:E13 H12:I12 O13 S14:V14 E53:G53 H53:K55 E54:H54 E55:F55">
    <cfRule type="cellIs" dxfId="12" priority="1106" stopIfTrue="1" operator="equal">
      <formula>0</formula>
    </cfRule>
  </conditionalFormatting>
  <conditionalFormatting sqref="E14:K14">
    <cfRule type="cellIs" dxfId="11" priority="74" stopIfTrue="1" operator="equal">
      <formula>0</formula>
    </cfRule>
  </conditionalFormatting>
  <conditionalFormatting sqref="G54:G65520 E59:E65520">
    <cfRule type="cellIs" dxfId="10" priority="240" stopIfTrue="1" operator="equal">
      <formula>0</formula>
    </cfRule>
  </conditionalFormatting>
  <conditionalFormatting sqref="F16">
    <cfRule type="cellIs" dxfId="9" priority="61" stopIfTrue="1" operator="equal">
      <formula>0</formula>
    </cfRule>
  </conditionalFormatting>
  <conditionalFormatting sqref="F22">
    <cfRule type="cellIs" dxfId="8" priority="60" stopIfTrue="1" operator="equal">
      <formula>0</formula>
    </cfRule>
  </conditionalFormatting>
  <conditionalFormatting sqref="F15">
    <cfRule type="cellIs" dxfId="7" priority="58" stopIfTrue="1" operator="equal">
      <formula>0</formula>
    </cfRule>
  </conditionalFormatting>
  <conditionalFormatting sqref="F50:F51">
    <cfRule type="cellIs" dxfId="6" priority="37" stopIfTrue="1" operator="equal">
      <formula>0</formula>
    </cfRule>
  </conditionalFormatting>
  <conditionalFormatting sqref="F28:F48">
    <cfRule type="cellIs" dxfId="5" priority="18" stopIfTrue="1" operator="equal">
      <formula>0</formula>
    </cfRule>
  </conditionalFormatting>
  <conditionalFormatting sqref="C25">
    <cfRule type="cellIs" dxfId="4" priority="14" operator="equal">
      <formula>0</formula>
    </cfRule>
  </conditionalFormatting>
  <conditionalFormatting sqref="C24">
    <cfRule type="cellIs" dxfId="3" priority="13" operator="equal">
      <formula>0</formula>
    </cfRule>
  </conditionalFormatting>
  <conditionalFormatting sqref="C26">
    <cfRule type="cellIs" dxfId="2" priority="8" operator="equal">
      <formula>0</formula>
    </cfRule>
  </conditionalFormatting>
  <conditionalFormatting sqref="C18">
    <cfRule type="cellIs" dxfId="1" priority="3" operator="equal">
      <formula>0</formula>
    </cfRule>
  </conditionalFormatting>
  <conditionalFormatting sqref="F17:F21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5:F16 F23:F52 H14:K55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C1:AD55"/>
  <sheetViews>
    <sheetView showGridLines="0" view="pageBreakPreview" topLeftCell="A13" zoomScale="85" zoomScaleNormal="115" zoomScaleSheetLayoutView="85" workbookViewId="0">
      <selection activeCell="S19" sqref="S19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4" t="s">
        <v>1439</v>
      </c>
      <c r="X2" s="645"/>
      <c r="Y2" s="645"/>
      <c r="Z2" s="645"/>
      <c r="AA2" s="645"/>
      <c r="AB2" s="645"/>
      <c r="AC2" s="645"/>
      <c r="AD2" s="646"/>
    </row>
    <row r="3" spans="3:30">
      <c r="C3" s="238"/>
      <c r="W3" s="647"/>
      <c r="X3" s="648"/>
      <c r="Y3" s="648"/>
      <c r="Z3" s="648"/>
      <c r="AA3" s="648"/>
      <c r="AB3" s="648"/>
      <c r="AC3" s="648"/>
      <c r="AD3" s="649"/>
    </row>
    <row r="4" spans="3:30">
      <c r="C4" s="238"/>
      <c r="Q4" s="483" t="s">
        <v>1614</v>
      </c>
      <c r="W4" s="239" t="s">
        <v>987</v>
      </c>
      <c r="AD4" s="240"/>
    </row>
    <row r="5" spans="3:30">
      <c r="C5" s="238"/>
      <c r="W5" s="241" t="s">
        <v>991</v>
      </c>
      <c r="X5" s="650" t="s">
        <v>990</v>
      </c>
      <c r="Y5" s="650"/>
      <c r="Z5" s="650"/>
      <c r="AA5" s="650" t="s">
        <v>988</v>
      </c>
      <c r="AB5" s="650"/>
      <c r="AC5" s="650" t="s">
        <v>989</v>
      </c>
      <c r="AD5" s="651"/>
    </row>
    <row r="6" spans="3:30" ht="21">
      <c r="C6" s="238"/>
      <c r="Q6" s="508"/>
      <c r="W6" s="241">
        <v>1</v>
      </c>
      <c r="X6" s="650" t="s">
        <v>993</v>
      </c>
      <c r="Y6" s="650"/>
      <c r="Z6" s="650"/>
      <c r="AA6" s="650"/>
      <c r="AB6" s="650"/>
      <c r="AC6" s="650"/>
      <c r="AD6" s="651"/>
    </row>
    <row r="7" spans="3:30">
      <c r="C7" s="238"/>
      <c r="W7" s="241">
        <v>2</v>
      </c>
      <c r="X7" s="650" t="s">
        <v>994</v>
      </c>
      <c r="Y7" s="650"/>
      <c r="Z7" s="650"/>
      <c r="AA7" s="650"/>
      <c r="AB7" s="650"/>
      <c r="AC7" s="650"/>
      <c r="AD7" s="651"/>
    </row>
    <row r="8" spans="3:30">
      <c r="C8" s="238"/>
      <c r="W8" s="241">
        <v>3</v>
      </c>
      <c r="X8" s="650" t="s">
        <v>995</v>
      </c>
      <c r="Y8" s="650"/>
      <c r="Z8" s="650"/>
      <c r="AA8" s="650"/>
      <c r="AB8" s="650"/>
      <c r="AC8" s="650"/>
      <c r="AD8" s="651"/>
    </row>
    <row r="9" spans="3:30">
      <c r="C9" s="238"/>
      <c r="W9" s="241">
        <v>4</v>
      </c>
      <c r="X9" s="650" t="s">
        <v>996</v>
      </c>
      <c r="Y9" s="650"/>
      <c r="Z9" s="650"/>
      <c r="AA9" s="650"/>
      <c r="AB9" s="650"/>
      <c r="AC9" s="650"/>
      <c r="AD9" s="651"/>
    </row>
    <row r="10" spans="3:30">
      <c r="C10" s="238"/>
      <c r="W10" s="241">
        <v>5</v>
      </c>
      <c r="X10" s="650" t="s">
        <v>997</v>
      </c>
      <c r="Y10" s="650"/>
      <c r="Z10" s="650"/>
      <c r="AA10" s="650"/>
      <c r="AB10" s="650"/>
      <c r="AC10" s="650"/>
      <c r="AD10" s="651"/>
    </row>
    <row r="11" spans="3:30">
      <c r="C11" s="238"/>
      <c r="W11" s="241">
        <v>6</v>
      </c>
      <c r="X11" s="650" t="s">
        <v>998</v>
      </c>
      <c r="Y11" s="650"/>
      <c r="Z11" s="650"/>
      <c r="AA11" s="650"/>
      <c r="AB11" s="650"/>
      <c r="AC11" s="650"/>
      <c r="AD11" s="651"/>
    </row>
    <row r="12" spans="3:30">
      <c r="C12" s="238"/>
      <c r="W12" s="241">
        <v>7</v>
      </c>
      <c r="X12" s="650" t="s">
        <v>999</v>
      </c>
      <c r="Y12" s="650"/>
      <c r="Z12" s="650"/>
      <c r="AA12" s="650"/>
      <c r="AB12" s="650"/>
      <c r="AC12" s="650"/>
      <c r="AD12" s="651"/>
    </row>
    <row r="13" spans="3:30" ht="12.75" customHeight="1">
      <c r="C13" s="238"/>
      <c r="W13" s="241">
        <v>8</v>
      </c>
      <c r="X13" s="650" t="s">
        <v>1000</v>
      </c>
      <c r="Y13" s="650"/>
      <c r="Z13" s="650"/>
      <c r="AA13" s="650"/>
      <c r="AB13" s="650"/>
      <c r="AC13" s="650"/>
      <c r="AD13" s="651"/>
    </row>
    <row r="14" spans="3:30">
      <c r="C14" s="238"/>
      <c r="W14" s="241">
        <v>9</v>
      </c>
      <c r="X14" s="650" t="s">
        <v>1001</v>
      </c>
      <c r="Y14" s="650"/>
      <c r="Z14" s="650"/>
      <c r="AA14" s="650"/>
      <c r="AB14" s="650"/>
      <c r="AC14" s="650"/>
      <c r="AD14" s="651"/>
    </row>
    <row r="15" spans="3:30">
      <c r="C15" s="238"/>
      <c r="W15" s="241">
        <v>10</v>
      </c>
      <c r="X15" s="650" t="s">
        <v>1010</v>
      </c>
      <c r="Y15" s="650"/>
      <c r="Z15" s="650"/>
      <c r="AA15" s="650"/>
      <c r="AB15" s="650"/>
      <c r="AC15" s="650"/>
      <c r="AD15" s="651"/>
    </row>
    <row r="16" spans="3:30">
      <c r="C16" s="238"/>
      <c r="W16" s="241">
        <v>11</v>
      </c>
      <c r="X16" s="650" t="s">
        <v>1455</v>
      </c>
      <c r="Y16" s="650"/>
      <c r="Z16" s="650"/>
      <c r="AA16" s="650"/>
      <c r="AB16" s="650"/>
      <c r="AC16" s="650"/>
      <c r="AD16" s="651"/>
    </row>
    <row r="17" spans="3:30">
      <c r="C17" s="238"/>
      <c r="S17" s="242"/>
      <c r="W17" s="241">
        <v>12</v>
      </c>
      <c r="X17" s="650" t="s">
        <v>1011</v>
      </c>
      <c r="Y17" s="650"/>
      <c r="Z17" s="650"/>
      <c r="AA17" s="650"/>
      <c r="AB17" s="650"/>
      <c r="AC17" s="650"/>
      <c r="AD17" s="651"/>
    </row>
    <row r="18" spans="3:30">
      <c r="C18" s="243"/>
      <c r="D18" s="244"/>
      <c r="E18" s="244"/>
      <c r="W18" s="241">
        <v>13</v>
      </c>
      <c r="X18" s="650"/>
      <c r="Y18" s="650"/>
      <c r="Z18" s="650"/>
      <c r="AA18" s="650"/>
      <c r="AB18" s="650"/>
      <c r="AC18" s="650"/>
      <c r="AD18" s="651"/>
    </row>
    <row r="19" spans="3:30">
      <c r="C19" s="238"/>
      <c r="W19" s="245"/>
      <c r="X19" s="667"/>
      <c r="Y19" s="667"/>
      <c r="Z19" s="667"/>
      <c r="AA19" s="667"/>
      <c r="AB19" s="667"/>
      <c r="AC19" s="667"/>
      <c r="AD19" s="668"/>
    </row>
    <row r="20" spans="3:30">
      <c r="C20" s="238"/>
      <c r="W20" s="652" t="s">
        <v>992</v>
      </c>
      <c r="X20" s="653"/>
      <c r="Y20" s="653"/>
      <c r="Z20" s="653"/>
      <c r="AA20" s="653"/>
      <c r="AB20" s="653"/>
      <c r="AC20" s="653"/>
      <c r="AD20" s="654"/>
    </row>
    <row r="21" spans="3:30">
      <c r="C21" s="238"/>
      <c r="W21" s="655" t="s">
        <v>985</v>
      </c>
      <c r="X21" s="656"/>
      <c r="Y21" s="656"/>
      <c r="Z21" s="657"/>
      <c r="AA21" s="658" t="s">
        <v>986</v>
      </c>
      <c r="AB21" s="659"/>
      <c r="AC21" s="659"/>
      <c r="AD21" s="660"/>
    </row>
    <row r="22" spans="3:30">
      <c r="C22" s="238"/>
      <c r="W22" s="661"/>
      <c r="X22" s="662"/>
      <c r="Y22" s="485"/>
      <c r="Z22" s="488"/>
      <c r="AA22" s="663"/>
      <c r="AB22" s="664"/>
      <c r="AC22" s="248"/>
      <c r="AD22" s="249"/>
    </row>
    <row r="23" spans="3:30">
      <c r="C23" s="238"/>
      <c r="W23" s="661"/>
      <c r="X23" s="662"/>
      <c r="Y23" s="485"/>
      <c r="Z23" s="488"/>
      <c r="AA23" s="665"/>
      <c r="AB23" s="666"/>
      <c r="AC23" s="248"/>
      <c r="AD23" s="249"/>
    </row>
    <row r="24" spans="3:30">
      <c r="C24" s="238"/>
      <c r="W24" s="671"/>
      <c r="X24" s="672"/>
      <c r="Y24" s="246"/>
      <c r="Z24" s="247"/>
      <c r="AA24" s="673"/>
      <c r="AB24" s="674"/>
      <c r="AC24" s="248"/>
      <c r="AD24" s="249"/>
    </row>
    <row r="25" spans="3:30">
      <c r="C25" s="238"/>
      <c r="W25" s="671"/>
      <c r="X25" s="672"/>
      <c r="Y25" s="246"/>
      <c r="Z25" s="247"/>
      <c r="AA25" s="665"/>
      <c r="AB25" s="666"/>
      <c r="AC25" s="248"/>
      <c r="AD25" s="249"/>
    </row>
    <row r="26" spans="3:30">
      <c r="C26" s="238"/>
      <c r="W26" s="473"/>
      <c r="X26" s="474"/>
      <c r="Y26" s="246"/>
      <c r="Z26" s="247"/>
      <c r="AA26" s="665"/>
      <c r="AB26" s="666"/>
      <c r="AC26" s="248"/>
      <c r="AD26" s="249"/>
    </row>
    <row r="27" spans="3:30">
      <c r="C27" s="238"/>
      <c r="W27" s="473"/>
      <c r="X27" s="474"/>
      <c r="Y27" s="246"/>
      <c r="Z27" s="247"/>
      <c r="AA27" s="669"/>
      <c r="AB27" s="670"/>
      <c r="AC27" s="248"/>
      <c r="AD27" s="249"/>
    </row>
    <row r="28" spans="3:30">
      <c r="C28" s="238"/>
      <c r="W28" s="473"/>
      <c r="X28" s="474"/>
      <c r="Y28" s="246"/>
      <c r="Z28" s="247"/>
      <c r="AA28" s="669"/>
      <c r="AB28" s="670"/>
      <c r="AC28" s="248"/>
      <c r="AD28" s="249"/>
    </row>
    <row r="29" spans="3:30">
      <c r="C29" s="238"/>
      <c r="W29" s="473"/>
      <c r="X29" s="474"/>
      <c r="Y29" s="246"/>
      <c r="Z29" s="247"/>
      <c r="AA29" s="669"/>
      <c r="AB29" s="670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69"/>
      <c r="AB30" s="670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69"/>
      <c r="AB31" s="670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69"/>
      <c r="AB32" s="670"/>
      <c r="AC32" s="248"/>
      <c r="AD32" s="249"/>
    </row>
    <row r="33" spans="3:30">
      <c r="C33" s="238"/>
      <c r="W33" s="473"/>
      <c r="X33" s="474"/>
      <c r="Y33" s="246"/>
      <c r="Z33" s="247"/>
      <c r="AA33" s="669"/>
      <c r="AB33" s="670"/>
      <c r="AC33" s="248"/>
      <c r="AD33" s="249"/>
    </row>
    <row r="34" spans="3:30">
      <c r="C34" s="238"/>
      <c r="W34" s="473"/>
      <c r="X34" s="474"/>
      <c r="Y34" s="246"/>
      <c r="Z34" s="247"/>
      <c r="AA34" s="669"/>
      <c r="AB34" s="670"/>
      <c r="AC34" s="248"/>
      <c r="AD34" s="249"/>
    </row>
    <row r="35" spans="3:30">
      <c r="C35" s="238"/>
      <c r="W35" s="671"/>
      <c r="X35" s="684"/>
      <c r="Y35" s="246"/>
      <c r="Z35" s="247"/>
      <c r="AA35" s="669"/>
      <c r="AB35" s="670"/>
      <c r="AC35" s="248"/>
      <c r="AD35" s="249"/>
    </row>
    <row r="36" spans="3:30">
      <c r="C36" s="238"/>
      <c r="W36" s="675"/>
      <c r="X36" s="676"/>
      <c r="Y36" s="246"/>
      <c r="Z36" s="251"/>
      <c r="AA36" s="677"/>
      <c r="AB36" s="670"/>
      <c r="AC36" s="248"/>
      <c r="AD36" s="249"/>
    </row>
    <row r="37" spans="3:30" ht="12.75" customHeight="1">
      <c r="C37" s="238"/>
      <c r="W37" s="678"/>
      <c r="X37" s="679"/>
      <c r="Y37" s="246"/>
      <c r="Z37" s="251"/>
      <c r="AA37" s="680"/>
      <c r="AB37" s="681"/>
      <c r="AC37" s="252"/>
      <c r="AD37" s="253"/>
    </row>
    <row r="38" spans="3:30" ht="12.75" customHeight="1">
      <c r="C38" s="238"/>
      <c r="W38" s="678"/>
      <c r="X38" s="679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8"/>
      <c r="X39" s="679"/>
      <c r="Y39" s="254"/>
      <c r="Z39" s="257"/>
      <c r="AA39" s="682"/>
      <c r="AB39" s="683"/>
      <c r="AC39" s="252"/>
      <c r="AD39" s="253"/>
    </row>
    <row r="40" spans="3:30" ht="12" customHeight="1">
      <c r="C40" s="238"/>
      <c r="W40" s="688"/>
      <c r="X40" s="689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0"/>
      <c r="X41" s="691"/>
      <c r="Y41" s="260"/>
      <c r="Z41" s="261"/>
      <c r="AA41" s="682"/>
      <c r="AB41" s="683"/>
      <c r="AC41" s="252"/>
      <c r="AD41" s="253"/>
    </row>
    <row r="42" spans="3:30" ht="12" customHeight="1">
      <c r="C42" s="238"/>
      <c r="W42" s="692" t="s">
        <v>1456</v>
      </c>
      <c r="X42" s="693"/>
      <c r="Y42" s="693"/>
      <c r="Z42" s="693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5" t="s">
        <v>11</v>
      </c>
      <c r="X44" s="686"/>
      <c r="Y44" s="650"/>
      <c r="Z44" s="650"/>
      <c r="AA44" s="650"/>
      <c r="AB44" s="650"/>
      <c r="AC44" s="650"/>
      <c r="AD44" s="651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5" t="s">
        <v>984</v>
      </c>
      <c r="X45" s="686"/>
      <c r="Y45" s="650">
        <v>1</v>
      </c>
      <c r="Z45" s="650"/>
      <c r="AA45" s="650"/>
      <c r="AB45" s="650" t="s">
        <v>12</v>
      </c>
      <c r="AC45" s="650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5" t="s">
        <v>15</v>
      </c>
      <c r="X46" s="686"/>
      <c r="Y46" s="687"/>
      <c r="Z46" s="687"/>
      <c r="AA46" s="687"/>
      <c r="AB46" s="650" t="s">
        <v>16</v>
      </c>
      <c r="AC46" s="650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8" t="s">
        <v>17</v>
      </c>
      <c r="X47" s="698"/>
      <c r="Y47" s="698"/>
      <c r="Z47" s="698"/>
      <c r="AA47" s="698"/>
      <c r="AB47" s="698"/>
      <c r="AC47" s="698"/>
      <c r="AD47" s="699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0" t="str">
        <f>RAB!G6</f>
        <v>KARYONO BAKSO</v>
      </c>
      <c r="X48" s="701"/>
      <c r="Y48" s="701"/>
      <c r="Z48" s="701"/>
      <c r="AA48" s="701"/>
      <c r="AB48" s="701"/>
      <c r="AC48" s="701"/>
      <c r="AD48" s="702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0" t="str">
        <f>RAB!G7</f>
        <v>KOMPLEK PASAR KUWU</v>
      </c>
      <c r="X49" s="701"/>
      <c r="Y49" s="701"/>
      <c r="Z49" s="701"/>
      <c r="AA49" s="701"/>
      <c r="AB49" s="701"/>
      <c r="AC49" s="701"/>
      <c r="AD49" s="70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5"/>
      <c r="X50" s="491"/>
      <c r="Y50" s="491"/>
      <c r="Z50" s="491"/>
      <c r="AA50" s="491"/>
      <c r="AB50" s="491"/>
      <c r="AC50" s="491"/>
      <c r="AD50" s="49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6"/>
      <c r="X51" s="493"/>
      <c r="Y51" s="493"/>
      <c r="Z51" s="493"/>
      <c r="AA51" s="493"/>
      <c r="AB51" s="493"/>
      <c r="AC51" s="493"/>
      <c r="AD51" s="49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5" t="s">
        <v>18</v>
      </c>
      <c r="X52" s="686"/>
      <c r="Y52" s="650" t="s">
        <v>1607</v>
      </c>
      <c r="Z52" s="650"/>
      <c r="AA52" s="650"/>
      <c r="AB52" s="650"/>
      <c r="AC52" s="650"/>
      <c r="AD52" s="651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5" t="s">
        <v>19</v>
      </c>
      <c r="X53" s="686"/>
      <c r="Y53" s="650" t="s">
        <v>1608</v>
      </c>
      <c r="Z53" s="650"/>
      <c r="AA53" s="650"/>
      <c r="AB53" s="650"/>
      <c r="AC53" s="650"/>
      <c r="AD53" s="651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5" t="s">
        <v>20</v>
      </c>
      <c r="X54" s="686"/>
      <c r="Y54" s="694" t="s">
        <v>1547</v>
      </c>
      <c r="Z54" s="694"/>
      <c r="AA54" s="694"/>
      <c r="AB54" s="650"/>
      <c r="AC54" s="650"/>
      <c r="AD54" s="651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5" t="s">
        <v>21</v>
      </c>
      <c r="X55" s="696"/>
      <c r="Y55" s="694"/>
      <c r="Z55" s="694"/>
      <c r="AA55" s="694"/>
      <c r="AB55" s="694"/>
      <c r="AC55" s="694"/>
      <c r="AD55" s="697"/>
    </row>
  </sheetData>
  <mergeCells count="102"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7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B1:AF68"/>
  <sheetViews>
    <sheetView view="pageBreakPreview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3" t="s">
        <v>1528</v>
      </c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5"/>
      <c r="AD4" s="217"/>
      <c r="AE4" s="216"/>
      <c r="AF4" s="216"/>
    </row>
    <row r="5" spans="2:32" ht="13.5" customHeight="1">
      <c r="B5" s="215"/>
      <c r="C5" s="215"/>
      <c r="D5" s="706"/>
      <c r="E5" s="707"/>
      <c r="F5" s="707"/>
      <c r="G5" s="707"/>
      <c r="H5" s="707"/>
      <c r="I5" s="707"/>
      <c r="J5" s="707"/>
      <c r="K5" s="707"/>
      <c r="L5" s="707"/>
      <c r="M5" s="707"/>
      <c r="N5" s="707"/>
      <c r="O5" s="707"/>
      <c r="P5" s="707"/>
      <c r="Q5" s="707"/>
      <c r="R5" s="707"/>
      <c r="S5" s="707"/>
      <c r="T5" s="707"/>
      <c r="U5" s="707"/>
      <c r="V5" s="707"/>
      <c r="W5" s="707"/>
      <c r="X5" s="707"/>
      <c r="Y5" s="707"/>
      <c r="Z5" s="707"/>
      <c r="AA5" s="707"/>
      <c r="AB5" s="707"/>
      <c r="AC5" s="708"/>
      <c r="AD5" s="217"/>
      <c r="AE5" s="216"/>
      <c r="AF5" s="216"/>
    </row>
    <row r="6" spans="2:32" ht="12.75" customHeight="1">
      <c r="B6" s="215"/>
      <c r="C6" s="215"/>
      <c r="D6" s="706"/>
      <c r="E6" s="707"/>
      <c r="F6" s="707"/>
      <c r="G6" s="707"/>
      <c r="H6" s="707"/>
      <c r="I6" s="707"/>
      <c r="J6" s="707"/>
      <c r="K6" s="707"/>
      <c r="L6" s="707"/>
      <c r="M6" s="707"/>
      <c r="N6" s="707"/>
      <c r="O6" s="707"/>
      <c r="P6" s="707"/>
      <c r="Q6" s="707"/>
      <c r="R6" s="707"/>
      <c r="S6" s="707"/>
      <c r="T6" s="707"/>
      <c r="U6" s="707"/>
      <c r="V6" s="707"/>
      <c r="W6" s="707"/>
      <c r="X6" s="707"/>
      <c r="Y6" s="707"/>
      <c r="Z6" s="707"/>
      <c r="AA6" s="707"/>
      <c r="AB6" s="707"/>
      <c r="AC6" s="708"/>
      <c r="AE6" s="216"/>
      <c r="AF6" s="216"/>
    </row>
    <row r="7" spans="2:32" ht="12.75" customHeight="1" thickBot="1">
      <c r="B7" s="215"/>
      <c r="C7" s="215"/>
      <c r="D7" s="709"/>
      <c r="E7" s="710"/>
      <c r="F7" s="710"/>
      <c r="G7" s="710"/>
      <c r="H7" s="710"/>
      <c r="I7" s="710"/>
      <c r="J7" s="710"/>
      <c r="K7" s="710"/>
      <c r="L7" s="710"/>
      <c r="M7" s="710"/>
      <c r="N7" s="710"/>
      <c r="O7" s="710"/>
      <c r="P7" s="710"/>
      <c r="Q7" s="710"/>
      <c r="R7" s="710"/>
      <c r="S7" s="710"/>
      <c r="T7" s="710"/>
      <c r="U7" s="710"/>
      <c r="V7" s="710"/>
      <c r="W7" s="710"/>
      <c r="X7" s="710"/>
      <c r="Y7" s="710"/>
      <c r="Z7" s="710"/>
      <c r="AA7" s="710"/>
      <c r="AB7" s="710"/>
      <c r="AC7" s="711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7" t="s">
        <v>1527</v>
      </c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707"/>
      <c r="R3" s="707"/>
      <c r="S3" s="707"/>
      <c r="T3" s="707"/>
      <c r="U3" s="707"/>
      <c r="V3" s="707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707"/>
      <c r="D4" s="707"/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712"/>
      <c r="D6" s="712"/>
      <c r="E6" s="712"/>
      <c r="F6" s="712"/>
      <c r="G6" s="712"/>
      <c r="H6" s="712"/>
      <c r="I6" s="712"/>
      <c r="J6" s="712"/>
      <c r="K6" s="712"/>
      <c r="L6" s="712"/>
      <c r="M6" s="712"/>
      <c r="W6" s="182"/>
      <c r="Y6" s="420"/>
      <c r="Z6" s="420"/>
      <c r="AA6" s="420"/>
      <c r="AB6" s="421"/>
      <c r="AC6" s="421"/>
    </row>
    <row r="7" spans="1:29" ht="18" customHeight="1">
      <c r="A7" s="181"/>
      <c r="C7" s="712"/>
      <c r="D7" s="712"/>
      <c r="E7" s="712"/>
      <c r="F7" s="712"/>
      <c r="G7" s="712"/>
      <c r="H7" s="712"/>
      <c r="I7" s="712"/>
      <c r="J7" s="712"/>
      <c r="K7" s="712"/>
      <c r="L7" s="712"/>
      <c r="M7" s="712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MIFTAKHUL HUDA</cp:lastModifiedBy>
  <cp:lastPrinted>2023-08-11T05:50:27Z</cp:lastPrinted>
  <dcterms:created xsi:type="dcterms:W3CDTF">2011-02-06T11:57:38Z</dcterms:created>
  <dcterms:modified xsi:type="dcterms:W3CDTF">2024-01-18T07:52:56Z</dcterms:modified>
</cp:coreProperties>
</file>