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4\01. JANUARI 2024\03. 52554 KKO KKF PB KSPPS PONTREN SEMBUNGHARJO 11 KVA\"/>
    </mc:Choice>
  </mc:AlternateContent>
  <bookViews>
    <workbookView xWindow="0" yWindow="0" windowWidth="20490" windowHeight="7500" tabRatio="859" activeTab="5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60" l="1"/>
  <c r="D56" i="11" l="1"/>
  <c r="J56" i="11" s="1"/>
  <c r="E56" i="11"/>
  <c r="G56" i="11"/>
  <c r="H56" i="11"/>
  <c r="I56" i="11"/>
  <c r="F54" i="11"/>
  <c r="F53" i="11"/>
  <c r="F52" i="11"/>
  <c r="F51" i="11"/>
  <c r="F50" i="11"/>
  <c r="D48" i="11"/>
  <c r="J48" i="11" s="1"/>
  <c r="E48" i="11"/>
  <c r="G48" i="11"/>
  <c r="D49" i="11"/>
  <c r="J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E54" i="11"/>
  <c r="G54" i="11"/>
  <c r="D55" i="11"/>
  <c r="J55" i="11" s="1"/>
  <c r="E55" i="11"/>
  <c r="G55" i="11"/>
  <c r="F39" i="11"/>
  <c r="D33" i="11"/>
  <c r="J33" i="11" s="1"/>
  <c r="E33" i="11"/>
  <c r="G33" i="11"/>
  <c r="F36" i="11"/>
  <c r="F35" i="11"/>
  <c r="F34" i="11"/>
  <c r="F32" i="11"/>
  <c r="F31" i="11"/>
  <c r="F30" i="11"/>
  <c r="F29" i="11"/>
  <c r="F28" i="11"/>
  <c r="F27" i="11"/>
  <c r="F25" i="11"/>
  <c r="F21" i="11"/>
  <c r="F20" i="11"/>
  <c r="F19" i="11"/>
  <c r="F18" i="11"/>
  <c r="K56" i="11" l="1"/>
  <c r="I55" i="11"/>
  <c r="I48" i="11"/>
  <c r="H52" i="11"/>
  <c r="I52" i="11"/>
  <c r="H48" i="11"/>
  <c r="J54" i="11"/>
  <c r="I54" i="11"/>
  <c r="I53" i="11"/>
  <c r="I50" i="11"/>
  <c r="I49" i="11"/>
  <c r="I51" i="11"/>
  <c r="H51" i="11"/>
  <c r="H54" i="11"/>
  <c r="H50" i="11"/>
  <c r="H53" i="11"/>
  <c r="H49" i="11"/>
  <c r="H55" i="11"/>
  <c r="K55" i="11" s="1"/>
  <c r="I33" i="11"/>
  <c r="H33" i="11"/>
  <c r="K49" i="11" l="1"/>
  <c r="K48" i="11"/>
  <c r="K51" i="11"/>
  <c r="K50" i="11"/>
  <c r="K54" i="11"/>
  <c r="K53" i="11"/>
  <c r="K52" i="11"/>
  <c r="K33" i="11"/>
  <c r="D32" i="11" l="1"/>
  <c r="E32" i="11"/>
  <c r="G32" i="11"/>
  <c r="G6" i="11"/>
  <c r="F47" i="11" l="1"/>
  <c r="F46" i="11"/>
  <c r="F45" i="11"/>
  <c r="F44" i="11"/>
  <c r="F43" i="11"/>
  <c r="D40" i="11"/>
  <c r="I40" i="11" s="1"/>
  <c r="E40" i="11"/>
  <c r="G40" i="11"/>
  <c r="D42" i="11"/>
  <c r="I42" i="11" s="1"/>
  <c r="E42" i="11"/>
  <c r="G42" i="11"/>
  <c r="D43" i="11"/>
  <c r="E43" i="11"/>
  <c r="G43" i="11"/>
  <c r="D44" i="11"/>
  <c r="H44" i="11" s="1"/>
  <c r="E44" i="11"/>
  <c r="G44" i="11"/>
  <c r="D45" i="11"/>
  <c r="E45" i="11"/>
  <c r="G45" i="11"/>
  <c r="D46" i="11"/>
  <c r="J46" i="11" s="1"/>
  <c r="E46" i="11"/>
  <c r="G46" i="11"/>
  <c r="D47" i="11"/>
  <c r="I47" i="11" s="1"/>
  <c r="E47" i="11"/>
  <c r="G47" i="11"/>
  <c r="J47" i="11" l="1"/>
  <c r="J44" i="11"/>
  <c r="H47" i="11"/>
  <c r="J40" i="11"/>
  <c r="H40" i="11"/>
  <c r="I46" i="11"/>
  <c r="I45" i="11"/>
  <c r="I43" i="11"/>
  <c r="H46" i="11"/>
  <c r="J45" i="11"/>
  <c r="I44" i="11"/>
  <c r="J42" i="11"/>
  <c r="H43" i="11"/>
  <c r="H45" i="11"/>
  <c r="H42" i="11"/>
  <c r="J43" i="11"/>
  <c r="F66" i="11"/>
  <c r="F65" i="11"/>
  <c r="F64" i="11"/>
  <c r="F63" i="11"/>
  <c r="F62" i="11"/>
  <c r="F61" i="11"/>
  <c r="F60" i="11"/>
  <c r="F59" i="11"/>
  <c r="F58" i="11"/>
  <c r="D57" i="11"/>
  <c r="J57" i="11" s="1"/>
  <c r="E57" i="11"/>
  <c r="G57" i="11"/>
  <c r="D58" i="11"/>
  <c r="J58" i="11" s="1"/>
  <c r="E58" i="11"/>
  <c r="G58" i="11"/>
  <c r="D59" i="11"/>
  <c r="H59" i="11" s="1"/>
  <c r="E59" i="11"/>
  <c r="G59" i="11"/>
  <c r="D60" i="11"/>
  <c r="H60" i="11" s="1"/>
  <c r="E60" i="11"/>
  <c r="G60" i="11"/>
  <c r="D61" i="11"/>
  <c r="J61" i="11" s="1"/>
  <c r="E61" i="11"/>
  <c r="G61" i="11"/>
  <c r="D62" i="11"/>
  <c r="J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E66" i="11"/>
  <c r="G66" i="11"/>
  <c r="D68" i="11"/>
  <c r="J68" i="11" s="1"/>
  <c r="E68" i="11"/>
  <c r="G68" i="11"/>
  <c r="G22" i="11"/>
  <c r="G23" i="11"/>
  <c r="G24" i="11"/>
  <c r="G25" i="11"/>
  <c r="G26" i="11"/>
  <c r="G27" i="11"/>
  <c r="G28" i="11"/>
  <c r="G29" i="11"/>
  <c r="G30" i="11"/>
  <c r="G31" i="11"/>
  <c r="G34" i="11"/>
  <c r="G35" i="11"/>
  <c r="G36" i="11"/>
  <c r="K47" i="11" l="1"/>
  <c r="K44" i="11"/>
  <c r="K46" i="11"/>
  <c r="K45" i="11"/>
  <c r="K40" i="11"/>
  <c r="K42" i="11"/>
  <c r="K43" i="11"/>
  <c r="J66" i="11"/>
  <c r="I65" i="11"/>
  <c r="I61" i="11"/>
  <c r="J60" i="11"/>
  <c r="H57" i="11"/>
  <c r="I57" i="11"/>
  <c r="I60" i="11"/>
  <c r="I68" i="11"/>
  <c r="J59" i="11"/>
  <c r="J63" i="11"/>
  <c r="H61" i="11"/>
  <c r="H68" i="11"/>
  <c r="I59" i="11"/>
  <c r="I58" i="11"/>
  <c r="I64" i="11"/>
  <c r="I66" i="11"/>
  <c r="H64" i="11"/>
  <c r="H65" i="11"/>
  <c r="I63" i="11"/>
  <c r="I62" i="11"/>
  <c r="H66" i="11"/>
  <c r="H62" i="11"/>
  <c r="H58" i="11"/>
  <c r="K64" i="11" l="1"/>
  <c r="K65" i="11"/>
  <c r="K58" i="11"/>
  <c r="K68" i="11"/>
  <c r="K60" i="11"/>
  <c r="K61" i="11"/>
  <c r="K63" i="11"/>
  <c r="K59" i="11"/>
  <c r="K57" i="11"/>
  <c r="K66" i="11"/>
  <c r="K62" i="11"/>
  <c r="E27" i="11" l="1"/>
  <c r="E28" i="11"/>
  <c r="E29" i="11"/>
  <c r="E30" i="11"/>
  <c r="E31" i="11"/>
  <c r="E34" i="11"/>
  <c r="E35" i="11"/>
  <c r="E36" i="11"/>
  <c r="D37" i="11" l="1"/>
  <c r="I37" i="11" s="1"/>
  <c r="E37" i="11"/>
  <c r="G37" i="11"/>
  <c r="D38" i="11"/>
  <c r="I38" i="11" s="1"/>
  <c r="E38" i="11"/>
  <c r="G38" i="11"/>
  <c r="D39" i="11"/>
  <c r="I39" i="11" s="1"/>
  <c r="E39" i="11"/>
  <c r="G39" i="11"/>
  <c r="H39" i="11" l="1"/>
  <c r="H38" i="11"/>
  <c r="H37" i="11"/>
  <c r="J39" i="11"/>
  <c r="J38" i="11"/>
  <c r="J37" i="11"/>
  <c r="K37" i="11" l="1"/>
  <c r="K39" i="11"/>
  <c r="K38" i="11"/>
  <c r="D23" i="11" l="1"/>
  <c r="E23" i="11"/>
  <c r="D24" i="11"/>
  <c r="E24" i="11"/>
  <c r="D25" i="11"/>
  <c r="E25" i="11"/>
  <c r="D26" i="11"/>
  <c r="E26" i="11"/>
  <c r="D27" i="11"/>
  <c r="D28" i="11"/>
  <c r="D29" i="11"/>
  <c r="D30" i="11"/>
  <c r="D31" i="11"/>
  <c r="D34" i="11"/>
  <c r="D35" i="11"/>
  <c r="D36" i="11"/>
  <c r="H32" i="11" l="1"/>
  <c r="I32" i="11"/>
  <c r="J32" i="11"/>
  <c r="I29" i="11"/>
  <c r="J29" i="11"/>
  <c r="H29" i="11"/>
  <c r="H26" i="11"/>
  <c r="I26" i="11"/>
  <c r="J26" i="11"/>
  <c r="H31" i="11"/>
  <c r="I31" i="11"/>
  <c r="J31" i="11"/>
  <c r="H34" i="11"/>
  <c r="I34" i="11"/>
  <c r="J34" i="11"/>
  <c r="H30" i="11"/>
  <c r="I30" i="11"/>
  <c r="J30" i="11"/>
  <c r="J36" i="11"/>
  <c r="H36" i="11"/>
  <c r="I36" i="11"/>
  <c r="J28" i="11"/>
  <c r="H28" i="11"/>
  <c r="I28" i="11"/>
  <c r="J24" i="11"/>
  <c r="H24" i="11"/>
  <c r="I24" i="11"/>
  <c r="H35" i="11"/>
  <c r="I35" i="11"/>
  <c r="J35" i="11"/>
  <c r="H27" i="11"/>
  <c r="I27" i="11"/>
  <c r="J27" i="11"/>
  <c r="I25" i="11"/>
  <c r="J25" i="11"/>
  <c r="H25" i="11"/>
  <c r="H23" i="11"/>
  <c r="I23" i="11"/>
  <c r="J23" i="11"/>
  <c r="K32" i="11" l="1"/>
  <c r="K27" i="11"/>
  <c r="K24" i="11"/>
  <c r="K30" i="11"/>
  <c r="K31" i="11"/>
  <c r="K36" i="11"/>
  <c r="K26" i="11"/>
  <c r="K28" i="11"/>
  <c r="K29" i="11"/>
  <c r="K23" i="11"/>
  <c r="K25" i="11"/>
  <c r="K35" i="11"/>
  <c r="K34" i="11"/>
  <c r="D22" i="11" l="1"/>
  <c r="E22" i="11"/>
  <c r="H22" i="11" l="1"/>
  <c r="I22" i="11"/>
  <c r="J22" i="11"/>
  <c r="D15" i="1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E21" i="11"/>
  <c r="G21" i="11"/>
  <c r="J21" i="11" l="1"/>
  <c r="K22" i="11"/>
  <c r="I15" i="11"/>
  <c r="J15" i="11"/>
  <c r="H19" i="11"/>
  <c r="I17" i="11"/>
  <c r="I19" i="11"/>
  <c r="J17" i="11"/>
  <c r="I21" i="11"/>
  <c r="I16" i="11"/>
  <c r="H21" i="11"/>
  <c r="I20" i="11"/>
  <c r="J19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W49" i="64"/>
  <c r="D69" i="11" l="1"/>
  <c r="I69" i="11" s="1"/>
  <c r="E69" i="11"/>
  <c r="G69" i="11"/>
  <c r="J69" i="11" l="1"/>
  <c r="H69" i="11"/>
  <c r="K69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7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0" i="11"/>
  <c r="D71" i="11"/>
  <c r="H71" i="11" s="1"/>
  <c r="E7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7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8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7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71" i="11"/>
  <c r="I71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71" i="11"/>
  <c r="E236" i="29" l="1"/>
  <c r="J70" i="11"/>
  <c r="K70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73" i="11"/>
  <c r="H74" i="11" s="1"/>
  <c r="I73" i="11"/>
  <c r="I74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75" i="11"/>
  <c r="I75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73" i="11"/>
  <c r="K74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73" i="11"/>
  <c r="J7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75" i="11"/>
  <c r="B76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<sst xmlns="http://schemas.openxmlformats.org/spreadsheetml/2006/main" count="4738" uniqueCount="1632">
  <si>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</si>
  <si>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</si>
  <si>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</si>
  <si>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</si>
  <si>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</si>
  <si>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</si>
  <si>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</si>
  <si>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</si>
  <si>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</si>
  <si>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</si>
  <si>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</si>
  <si>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</si>
  <si>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</si>
  <si>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</si>
  <si>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</si>
  <si>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</si>
  <si>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</si>
  <si>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</si>
  <si>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</si>
  <si>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</si>
  <si>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</si>
  <si>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</si>
  <si>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</si>
  <si>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</si>
  <si>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</si>
  <si>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</si>
  <si>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</si>
  <si>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</si>
  <si>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</si>
  <si>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</si>
  <si>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</si>
  <si>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</si>
  <si>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</si>
  <si>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</si>
  <si>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</si>
  <si>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</si>
  <si>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</si>
  <si>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</si>
  <si>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</si>
  <si>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</si>
  <si>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</si>
  <si>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</si>
  <si>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</si>
  <si>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</si>
  <si>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</si>
  <si>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</si>
  <si>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</si>
  <si>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</si>
  <si>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</si>
  <si>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</si>
  <si>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</si>
  <si>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</si>
  <si>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</si>
  <si>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</si>
  <si>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</si>
  <si>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</si>
  <si>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</si>
  <si>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</si>
  <si>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</si>
  <si>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</si>
  <si>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</si>
  <si>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</si>
  <si>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</si>
  <si>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</si>
  <si>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</si>
  <si>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</si>
  <si>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</si>
  <si>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</si>
  <si>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</si>
  <si>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</si>
  <si>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</si>
  <si>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</si>
  <si>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</si>
  <si>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</si>
  <si>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</si>
  <si>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</si>
  <si>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</si>
  <si>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</si>
  <si>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</si>
  <si>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</si>
  <si>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</si>
  <si>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</si>
  <si>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</si>
  <si>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</si>
  <si>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</si>
  <si>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</si>
  <si>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</si>
  <si>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</si>
  <si>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</si>
  <si>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</si>
  <si>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</si>
  <si>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</si>
  <si>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</si>
  <si>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</si>
  <si>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</si>
  <si>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</si>
  <si>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</si>
  <si>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</si>
  <si>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</si>
  <si>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</si>
  <si>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</si>
  <si>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</si>
  <si>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</si>
  <si>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</si>
  <si>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</si>
  <si>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</si>
  <si>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</si>
  <si>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</si>
  <si>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</si>
  <si>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</si>
  <si>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</si>
  <si>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</si>
  <si>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</si>
  <si>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</si>
  <si>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</si>
  <si>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</si>
  <si>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</si>
  <si>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</si>
  <si>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</si>
  <si>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</si>
  <si>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</si>
  <si>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</si>
  <si>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</si>
  <si>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</si>
  <si>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</si>
  <si>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</si>
  <si>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</si>
  <si>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</si>
  <si>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</si>
  <si>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</si>
  <si>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</si>
  <si>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</si>
  <si>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</si>
  <si>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</si>
  <si>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</si>
  <si>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</si>
  <si>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</si>
  <si>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</si>
  <si>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</si>
  <si>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</si>
  <si>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</si>
  <si>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</si>
  <si>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</si>
  <si>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</si>
  <si>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</si>
  <si>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</si>
  <si>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</si>
  <si>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</si>
  <si>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</si>
  <si>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</si>
  <si>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</si>
  <si>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</si>
  <si>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</si>
  <si>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</si>
  <si>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</si>
  <si>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</si>
  <si>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</si>
  <si>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</si>
  <si>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</si>
  <si>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</si>
  <si>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</si>
  <si>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</si>
  <si>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</si>
  <si>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</si>
  <si>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</si>
  <si>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</si>
  <si>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</si>
  <si>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</si>
  <si>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</si>
  <si>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</si>
  <si>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</si>
  <si>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</si>
  <si>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</si>
  <si>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</si>
  <si>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</si>
  <si>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</si>
  <si>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</si>
  <si>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</si>
  <si>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</si>
  <si>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</si>
  <si>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</si>
  <si>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</si>
  <si>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</si>
  <si>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</si>
  <si>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</si>
  <si>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</si>
  <si>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</si>
  <si>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</si>
  <si>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</si>
  <si>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</si>
  <si>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</si>
  <si>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</si>
  <si>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</si>
  <si>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</si>
  <si>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</si>
  <si>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</si>
  <si>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</si>
  <si>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</si>
  <si>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</si>
  <si>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</si>
  <si>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</si>
  <si>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</si>
  <si>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</si>
  <si>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</si>
  <si>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</si>
  <si>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</si>
  <si>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</si>
  <si>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</si>
  <si>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</si>
  <si>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</si>
  <si>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</si>
  <si>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</si>
  <si>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</si>
  <si>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</si>
  <si>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</si>
  <si>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</si>
  <si>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</si>
  <si>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</si>
  <si>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</si>
  <si>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</si>
  <si>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</si>
  <si>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</si>
  <si>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</si>
  <si>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</si>
  <si>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</si>
  <si>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</si>
  <si>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</si>
  <si>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</si>
  <si>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</si>
  <si>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</si>
  <si>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</si>
  <si>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</si>
  <si>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</si>
  <si>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</si>
  <si>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</si>
  <si>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</si>
  <si>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</si>
  <si>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</si>
  <si>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</si>
  <si>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</si>
  <si>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</si>
  <si>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</si>
  <si>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</si>
  <si>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</si>
  <si>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</si>
  <si>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</si>
  <si>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</si>
  <si>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</si>
  <si>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</si>
  <si>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</si>
  <si>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</si>
  <si>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</si>
  <si>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</si>
  <si>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</si>
  <si>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</si>
  <si>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</si>
  <si>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</si>
  <si>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</si>
  <si>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</si>
  <si>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</si>
  <si>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</si>
  <si>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</si>
  <si>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</si>
  <si>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</si>
  <si>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</si>
  <si>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</si>
  <si>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</si>
  <si>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</si>
  <si>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</si>
  <si>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</si>
  <si>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</si>
  <si>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</si>
  <si>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</si>
  <si>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</si>
  <si>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</si>
  <si>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</si>
  <si>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</si>
  <si>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</si>
  <si>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</si>
  <si>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</si>
  <si>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</si>
  <si>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</si>
  <si>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</si>
  <si>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</si>
  <si>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</si>
  <si>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</si>
  <si>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</si>
  <si>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</si>
  <si>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</si>
  <si>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</si>
  <si>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</si>
  <si>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</si>
  <si>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</si>
  <si>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</si>
  <si>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</si>
  <si>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</si>
  <si>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</si>
  <si>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</si>
  <si>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</si>
  <si>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</si>
  <si>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</si>
  <si>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</si>
  <si>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</si>
  <si>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</si>
  <si>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</si>
  <si>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</si>
  <si>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</si>
  <si>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</si>
  <si>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</si>
  <si>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</si>
  <si>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</si>
  <si>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</si>
  <si>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</si>
  <si>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</si>
  <si>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</si>
  <si>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</si>
  <si>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</si>
  <si>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</si>
  <si>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</si>
  <si>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</si>
  <si>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</si>
  <si>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</si>
  <si>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</si>
  <si>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</si>
  <si>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</si>
  <si>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</si>
  <si>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</si>
  <si>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</si>
  <si>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</si>
  <si>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</si>
  <si>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</si>
  <si>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</si>
  <si>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</si>
  <si>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</si>
  <si>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</si>
  <si>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</si>
  <si>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</si>
  <si>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</si>
  <si>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</si>
  <si>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</si>
  <si>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</si>
  <si>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</si>
  <si>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</si>
  <si>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</si>
  <si>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</si>
  <si>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</si>
  <si>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</si>
  <si>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</si>
  <si>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</si>
  <si>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</si>
  <si>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</si>
  <si>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</si>
  <si>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</si>
  <si>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</si>
  <si>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</si>
  <si>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</si>
  <si>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</si>
  <si>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</si>
  <si>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</si>
  <si>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</si>
  <si>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</si>
  <si>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</si>
  <si>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</si>
  <si>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</si>
  <si>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</si>
  <si>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</si>
  <si>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</si>
  <si>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</si>
  <si>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</si>
  <si>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</si>
  <si>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</si>
  <si>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</si>
  <si>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</si>
  <si>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</si>
  <si>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</si>
  <si>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</si>
  <si>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</si>
  <si>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</si>
  <si>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</si>
  <si>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</si>
  <si>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</si>
  <si>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</si>
  <si>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</si>
  <si>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</si>
  <si>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</si>
  <si>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</si>
  <si>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</si>
  <si>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</si>
  <si>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</si>
  <si>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</si>
  <si>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</si>
  <si>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</si>
  <si>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</si>
  <si>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</si>
  <si>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</si>
  <si>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</si>
  <si>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</si>
  <si>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</si>
  <si>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</si>
  <si>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</si>
  <si>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</si>
  <si>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</si>
  <si>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</si>
  <si>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</si>
  <si>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</si>
  <si>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</si>
  <si>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</si>
  <si>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</si>
  <si>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</si>
  <si>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</si>
  <si>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</si>
  <si>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</si>
  <si>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</si>
  <si>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</si>
  <si>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</si>
  <si>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</si>
  <si>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</si>
  <si>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</si>
  <si>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</si>
  <si>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</si>
  <si>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</si>
  <si>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</si>
  <si>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</si>
  <si>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</si>
  <si>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</si>
  <si>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</si>
  <si>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</si>
  <si>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</si>
  <si>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</si>
  <si>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</si>
  <si>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</si>
  <si>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</si>
  <si>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</si>
  <si>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</si>
  <si>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</si>
  <si>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</si>
  <si>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</si>
  <si>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</si>
  <si>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</si>
  <si>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</si>
  <si>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</si>
  <si>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</si>
  <si>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</si>
  <si>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</si>
  <si>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</si>
  <si>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</si>
  <si>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</si>
  <si>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</si>
  <si>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</si>
  <si>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</si>
  <si>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</si>
  <si>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</si>
  <si>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</si>
  <si>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</si>
  <si>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</si>
  <si>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</si>
  <si>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</si>
  <si>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</si>
  <si>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</si>
  <si>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</si>
  <si>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</si>
  <si>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</si>
  <si>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</si>
  <si>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</si>
  <si>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</si>
  <si>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</si>
  <si>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</si>
  <si>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</si>
  <si>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</si>
  <si>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</si>
  <si>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</si>
  <si>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</si>
  <si>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</si>
  <si>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</si>
  <si>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</si>
  <si>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</si>
  <si>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</si>
  <si>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</si>
  <si>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</si>
  <si>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</si>
  <si>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</si>
  <si>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</si>
  <si>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</si>
  <si>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</si>
  <si>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</si>
  <si>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</si>
  <si>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</si>
  <si>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</si>
  <si>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</si>
  <si>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</si>
  <si>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</si>
  <si>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</si>
  <si>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</si>
  <si>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</si>
  <si>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</si>
  <si>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</si>
  <si>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</si>
  <si>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</si>
  <si>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</si>
  <si>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</si>
  <si>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</si>
  <si>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</si>
  <si>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</si>
  <si>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</si>
  <si>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</si>
  <si>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</si>
  <si>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</si>
  <si>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</si>
  <si>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</si>
  <si>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</si>
  <si>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</si>
  <si>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</si>
  <si>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</si>
  <si>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</si>
  <si>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</si>
  <si>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</si>
  <si>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</si>
  <si>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</si>
  <si>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</si>
  <si>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</si>
  <si>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</si>
  <si>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</si>
  <si>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</si>
  <si>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</si>
  <si>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</si>
  <si>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</si>
  <si>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</si>
  <si>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</si>
  <si>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</si>
  <si>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</si>
  <si>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</si>
  <si>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</si>
  <si>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</si>
  <si>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</si>
  <si>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</si>
  <si>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</si>
  <si>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</si>
  <si>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</si>
  <si>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</si>
  <si>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</si>
  <si>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</si>
  <si>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</si>
  <si>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</si>
  <si>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</si>
  <si>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</si>
  <si>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</si>
  <si>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</si>
  <si>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</si>
  <si>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</si>
  <si>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</si>
  <si>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</si>
  <si>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</si>
  <si>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</si>
  <si>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</si>
  <si>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</si>
  <si>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</si>
  <si>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</si>
  <si>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</si>
  <si>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</si>
  <si>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</si>
  <si>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</si>
  <si>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</si>
  <si>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</si>
  <si>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</si>
  <si>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</si>
  <si>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</si>
  <si>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</si>
  <si>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</si>
  <si>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</si>
  <si>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</si>
  <si>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</si>
  <si>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</si>
  <si>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</si>
  <si>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</si>
  <si>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</si>
  <si>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</si>
  <si>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</si>
  <si>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</si>
  <si>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</si>
  <si>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</si>
  <si>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</si>
  <si>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</si>
  <si>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</si>
  <si>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</si>
  <si>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</si>
  <si>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</si>
  <si>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</si>
  <si>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</si>
  <si>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</si>
  <si>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</si>
  <si>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</si>
  <si>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</si>
  <si>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</si>
  <si>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</si>
  <si>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</si>
  <si>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</si>
  <si>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</si>
  <si>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</si>
  <si>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</si>
  <si>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</si>
  <si>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</si>
  <si>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</si>
  <si>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</si>
  <si>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</si>
  <si>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</si>
  <si>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</si>
  <si>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</si>
  <si>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</si>
  <si>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</si>
  <si>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</si>
  <si>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</si>
  <si>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</si>
  <si>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</si>
  <si>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</si>
  <si>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</si>
  <si>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</si>
  <si>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</si>
  <si>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</si>
  <si>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</si>
  <si>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</si>
  <si>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</si>
  <si>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</si>
  <si>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</si>
  <si>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</si>
  <si>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</si>
  <si>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</si>
  <si>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</si>
  <si>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</si>
  <si>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</si>
  <si>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</si>
  <si>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</si>
  <si>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</si>
  <si>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</si>
  <si>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</si>
  <si>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</si>
  <si>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</si>
  <si>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</si>
  <si>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</si>
  <si>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</si>
  <si>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</si>
  <si>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</si>
  <si>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</si>
  <si>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</si>
  <si>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</si>
  <si>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</si>
  <si>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</si>
  <si>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</si>
  <si>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</si>
  <si>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</si>
  <si>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</si>
  <si>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</si>
  <si>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</si>
  <si>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</si>
  <si>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</si>
  <si>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</si>
  <si>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</si>
  <si>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</si>
  <si>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</si>
  <si>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</si>
  <si>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</si>
  <si>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</si>
  <si>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</si>
  <si>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</si>
  <si>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</si>
  <si>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</si>
  <si>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</si>
  <si>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</si>
  <si>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</si>
  <si>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</si>
  <si>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</si>
  <si>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</si>
  <si>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</si>
  <si>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</si>
  <si>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</si>
  <si>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</si>
  <si>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</si>
  <si>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</si>
  <si>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</si>
  <si>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</si>
  <si>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</si>
  <si>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</si>
  <si>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</si>
  <si>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</si>
  <si>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</si>
  <si>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</si>
  <si>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</si>
  <si>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</si>
  <si>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</si>
  <si>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</si>
  <si>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</si>
  <si>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</si>
  <si>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</si>
  <si>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</si>
  <si>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</si>
  <si>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</si>
  <si>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</si>
  <si>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</si>
  <si>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</si>
  <si>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</si>
  <si>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</si>
  <si>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</si>
  <si>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</si>
  <si>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</si>
  <si>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</si>
  <si>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</si>
  <si>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</si>
  <si>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</si>
  <si>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</si>
  <si>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</si>
  <si>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</si>
  <si>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</si>
  <si>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</si>
  <si>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</si>
  <si>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</si>
  <si>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</si>
  <si>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</si>
  <si>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</si>
  <si>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</si>
  <si>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</si>
  <si>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</si>
  <si>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</si>
  <si>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</si>
  <si>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</si>
  <si>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</si>
  <si>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</si>
  <si>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</si>
  <si>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</si>
  <si>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</si>
  <si>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</si>
  <si>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</si>
  <si>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</si>
  <si>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</si>
  <si>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</si>
  <si>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</si>
  <si>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</si>
  <si>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</si>
  <si>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</si>
  <si>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</si>
  <si>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</si>
  <si>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</si>
  <si>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</si>
  <si>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</si>
  <si>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</si>
  <si>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</si>
  <si>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</si>
  <si>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</si>
  <si>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</si>
  <si>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</si>
  <si>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</si>
  <si>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</si>
  <si>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</si>
  <si>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</si>
  <si>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</si>
  <si>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</si>
  <si>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</si>
  <si>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</si>
  <si>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</si>
  <si>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</si>
  <si>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</si>
  <si>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</si>
  <si>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</si>
  <si>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</si>
  <si>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</si>
  <si>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</si>
  <si>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</si>
  <si>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</si>
  <si>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</si>
  <si>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</si>
  <si>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</si>
  <si>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</si>
  <si>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</si>
  <si>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</si>
  <si>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</si>
  <si>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</si>
  <si>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</si>
  <si>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</si>
  <si>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</si>
  <si>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</si>
  <si>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</si>
  <si>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</si>
  <si>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</si>
  <si>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</si>
  <si>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</si>
  <si>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</si>
  <si>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</si>
  <si>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</si>
  <si>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</si>
  <si>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</si>
  <si>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</si>
  <si>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</si>
  <si>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</si>
  <si>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</si>
  <si>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</si>
  <si>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</si>
  <si>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</si>
  <si>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</si>
  <si>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</si>
  <si>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</si>
  <si>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</si>
  <si>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</si>
  <si>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</si>
  <si>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</si>
  <si>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</si>
  <si>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</si>
  <si>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</si>
  <si>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</si>
  <si>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</si>
  <si>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</si>
  <si>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</si>
  <si>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</si>
  <si>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</si>
  <si>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</si>
  <si>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</si>
  <si>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</si>
  <si>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</si>
  <si>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</si>
  <si>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</si>
  <si>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</si>
  <si>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</si>
  <si>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</si>
  <si>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</si>
  <si>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</si>
  <si>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</si>
  <si>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</si>
  <si>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</si>
  <si>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</si>
  <si>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</si>
  <si>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</si>
  <si>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</si>
  <si>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</si>
  <si>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</si>
  <si>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</si>
  <si>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</si>
  <si>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</si>
  <si>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</si>
  <si>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</si>
  <si>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</si>
  <si>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</si>
  <si>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</si>
  <si>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</si>
  <si>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</si>
  <si>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</si>
  <si>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</si>
  <si>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</si>
  <si>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</si>
  <si>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</si>
  <si>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</si>
  <si>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</si>
  <si>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</si>
  <si>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</si>
  <si>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</si>
  <si>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</si>
  <si>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</si>
  <si>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</si>
  <si>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</si>
  <si>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</si>
  <si>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</si>
  <si>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</si>
  <si>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</si>
  <si>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</si>
  <si>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</si>
  <si>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</si>
  <si>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</si>
  <si>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</si>
  <si>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</si>
  <si>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</si>
  <si>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</si>
  <si>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</si>
  <si>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</si>
  <si>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</si>
  <si>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</si>
  <si>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</si>
  <si>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</si>
  <si>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</si>
  <si>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</si>
  <si>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</si>
  <si>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</si>
  <si>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</si>
  <si>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</si>
  <si>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</si>
  <si>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</si>
  <si>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</si>
  <si>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</si>
  <si>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</si>
  <si>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</si>
  <si>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</si>
  <si>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</si>
  <si>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</si>
  <si>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</si>
  <si>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</si>
  <si>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</si>
  <si>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</si>
  <si>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</si>
  <si>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</si>
  <si>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</si>
  <si>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</si>
  <si>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</si>
  <si>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</si>
  <si>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</si>
  <si>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</si>
  <si>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</si>
  <si>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</si>
  <si>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</si>
  <si>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</si>
  <si>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</si>
  <si>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</si>
  <si>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</si>
  <si>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</si>
  <si>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</si>
  <si>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</si>
  <si>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</si>
  <si>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</si>
  <si>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</si>
  <si>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</si>
  <si>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</si>
  <si>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</si>
  <si>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</si>
  <si>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</si>
  <si>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</si>
  <si>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</si>
  <si>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</si>
  <si>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</si>
  <si>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</si>
  <si>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</si>
  <si>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</si>
  <si>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</si>
  <si>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</si>
  <si>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</si>
  <si>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</si>
  <si>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</si>
  <si>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</si>
  <si>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</si>
  <si>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</si>
  <si>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</si>
  <si>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</si>
  <si>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</si>
  <si>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</si>
  <si>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</si>
  <si>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</si>
  <si>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</si>
  <si>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</si>
  <si>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</si>
  <si>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</si>
  <si>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</si>
  <si>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</si>
  <si>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</si>
  <si>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</si>
  <si>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</si>
  <si>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</si>
  <si>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</si>
  <si>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</si>
  <si>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</si>
  <si>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</si>
  <si>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</si>
  <si>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</si>
  <si>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</si>
  <si>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</si>
  <si>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</si>
  <si>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</si>
  <si>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</si>
  <si>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</si>
  <si>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</si>
  <si>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</si>
  <si>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</si>
  <si>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</si>
  <si>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</si>
  <si>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</si>
  <si>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</si>
  <si>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</si>
  <si>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</si>
  <si>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</si>
  <si>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</si>
  <si>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</si>
  <si>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</si>
  <si>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</si>
  <si>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</si>
  <si>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</si>
  <si>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</si>
  <si>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</si>
  <si>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</si>
  <si>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</si>
  <si>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</si>
  <si>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</si>
  <si>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</si>
  <si>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</si>
  <si>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</si>
  <si>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</si>
  <si>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</si>
  <si>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</si>
  <si>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</si>
  <si>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</si>
  <si>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</si>
  <si>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</si>
  <si>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</si>
  <si>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</si>
  <si>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</si>
  <si>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</si>
  <si>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</si>
  <si>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</si>
  <si>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</si>
  <si>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</si>
  <si>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</si>
  <si>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</si>
  <si>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</si>
  <si>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</si>
  <si>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</si>
  <si>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</si>
  <si>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</si>
  <si>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</si>
  <si>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</si>
  <si>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</si>
  <si>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</si>
  <si>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</si>
  <si>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</si>
  <si>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</si>
  <si>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</si>
  <si>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</si>
  <si>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</si>
  <si>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</si>
  <si>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</si>
  <si>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</si>
  <si>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</si>
  <si>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</si>
  <si>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</si>
  <si>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</si>
  <si>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</si>
  <si>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</si>
  <si>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</si>
  <si>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</si>
  <si>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</si>
  <si>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</si>
  <si>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</si>
  <si>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</si>
  <si>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</si>
  <si>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</si>
  <si>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</si>
  <si>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</si>
  <si>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</si>
  <si>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</si>
  <si>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</si>
  <si>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</si>
  <si>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</si>
  <si>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</si>
  <si>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</si>
  <si>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</si>
  <si>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</si>
  <si>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</si>
  <si>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</si>
  <si>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</si>
  <si>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</si>
  <si>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</si>
  <si>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</si>
  <si>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</si>
  <si>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</si>
  <si>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</si>
  <si>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</si>
  <si>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</si>
  <si>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</si>
  <si>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</si>
  <si>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</si>
  <si>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</si>
  <si>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</si>
  <si>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</si>
  <si>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</si>
  <si>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</si>
  <si>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</si>
  <si>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</si>
  <si>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</si>
  <si>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</si>
  <si>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</si>
  <si>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</si>
  <si>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</si>
  <si>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</si>
  <si>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</si>
  <si>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</si>
  <si>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</si>
  <si>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</si>
  <si>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</si>
  <si>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</si>
  <si>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</si>
  <si>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</si>
  <si>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</si>
  <si>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</si>
  <si>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</si>
  <si>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</si>
  <si>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</si>
  <si>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</si>
  <si>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</si>
  <si>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</si>
  <si>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</si>
  <si>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</si>
  <si>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</si>
  <si>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</si>
  <si>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</si>
  <si>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</si>
  <si>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</si>
  <si>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</si>
  <si>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</si>
  <si>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</si>
  <si>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</si>
  <si>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</si>
  <si>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</si>
  <si>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</si>
  <si>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</si>
  <si>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</si>
  <si>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</si>
  <si>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</si>
  <si>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</si>
  <si>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</si>
  <si>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</si>
  <si>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</si>
  <si>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</si>
  <si>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</si>
  <si>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</si>
  <si>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</si>
  <si>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</si>
  <si>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</si>
  <si>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</si>
  <si>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</si>
  <si>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</si>
  <si>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</si>
  <si>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</si>
  <si>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</si>
  <si>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</si>
  <si>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</si>
  <si>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</si>
  <si>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</si>
  <si>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</si>
  <si>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</si>
  <si>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</si>
  <si>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</si>
  <si>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</si>
  <si>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</si>
  <si>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</si>
  <si>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</si>
  <si>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</si>
  <si>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</si>
  <si>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</si>
  <si>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</si>
  <si>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</si>
  <si>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</si>
  <si>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</si>
  <si>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</si>
  <si>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</si>
  <si>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</si>
  <si>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</si>
  <si>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</si>
  <si>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</si>
  <si>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</si>
  <si>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</si>
  <si>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</si>
  <si>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</si>
  <si>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</si>
  <si>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</si>
  <si>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</si>
  <si>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</si>
  <si>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</si>
  <si>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</si>
  <si>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</si>
  <si>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</si>
  <si>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</si>
  <si>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</si>
  <si>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</si>
  <si>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</si>
  <si>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</si>
  <si>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</si>
  <si>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</si>
  <si>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</si>
  <si>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</si>
  <si>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</si>
  <si>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</si>
  <si>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</si>
  <si>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</si>
  <si>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</si>
  <si>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</si>
  <si>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</si>
  <si>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</si>
  <si>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</si>
  <si>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</si>
  <si>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</si>
  <si>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</si>
  <si>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</si>
  <si>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</si>
  <si>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</si>
  <si>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</si>
  <si>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</si>
  <si>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</si>
  <si>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</si>
  <si>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</si>
  <si>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</si>
  <si>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</si>
  <si>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</si>
  <si>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</si>
  <si>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</si>
  <si>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</si>
  <si>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</si>
  <si>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</si>
  <si>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</si>
  <si>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</si>
  <si>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</si>
  <si>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</si>
  <si>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</si>
  <si>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</si>
  <si>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</si>
  <si>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</si>
  <si>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</si>
  <si>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</si>
  <si>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</si>
  <si>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</si>
  <si>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</si>
  <si>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</si>
  <si>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</si>
  <si>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</si>
  <si>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</si>
  <si>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</si>
  <si>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</si>
  <si>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</si>
  <si>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</si>
  <si>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</si>
  <si>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</si>
  <si>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</si>
  <si>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</si>
  <si>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</si>
  <si>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</si>
  <si>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</si>
  <si>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</si>
  <si>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</si>
  <si>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</si>
  <si>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</si>
  <si>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</si>
  <si>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</si>
  <si>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</si>
  <si>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</si>
  <si>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</si>
  <si>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</si>
  <si>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</si>
  <si>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</si>
  <si>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</si>
  <si>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</si>
  <si>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</si>
  <si>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</si>
  <si>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</si>
  <si>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</si>
  <si>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</si>
  <si>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</si>
  <si>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</si>
  <si>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</si>
  <si>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</si>
  <si>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</si>
  <si>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</si>
  <si>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</si>
  <si>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</si>
  <si>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</si>
  <si>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</si>
  <si>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</si>
  <si>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</si>
  <si>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</si>
  <si>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</si>
  <si>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</si>
  <si>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</si>
  <si>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</si>
  <si>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</si>
  <si>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</si>
  <si>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</si>
  <si>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</si>
  <si>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</si>
  <si>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</si>
  <si>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</si>
  <si>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</si>
  <si>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</si>
  <si>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</si>
  <si>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</si>
  <si>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</si>
  <si>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</si>
  <si>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</si>
  <si>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</si>
  <si>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</si>
  <si>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</si>
  <si>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</si>
  <si>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</si>
  <si>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</si>
  <si>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</si>
  <si>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</si>
  <si>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</si>
  <si>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</si>
  <si>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</si>
  <si>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</si>
  <si>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</si>
  <si>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</si>
  <si>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</si>
  <si>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</si>
  <si>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</si>
  <si>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</si>
  <si>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</si>
  <si>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</si>
  <si>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</si>
  <si>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</si>
  <si>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</si>
  <si>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</si>
  <si>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</si>
  <si>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</si>
  <si>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</si>
  <si>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</si>
  <si>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</si>
  <si>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</si>
  <si>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</si>
  <si>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</si>
  <si>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</si>
  <si>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</si>
  <si>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</si>
  <si>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</si>
  <si>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</si>
  <si>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</si>
  <si>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</si>
  <si>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</si>
  <si>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</si>
  <si>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</si>
  <si>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</si>
  <si>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</si>
  <si>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</si>
  <si>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</si>
  <si>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</si>
  <si>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</si>
  <si>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</si>
  <si>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</si>
  <si>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</si>
  <si>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</si>
  <si>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</si>
  <si>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</si>
  <si>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</si>
  <si>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</si>
  <si>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</si>
  <si>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</si>
  <si>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</si>
  <si>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</si>
  <si>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</si>
  <si>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</si>
  <si>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</si>
  <si>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</si>
  <si>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</si>
  <si>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</si>
  <si>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</si>
  <si>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</si>
  <si>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</si>
  <si>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</si>
  <si>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</si>
  <si>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</si>
  <si>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</si>
  <si>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</si>
  <si>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</si>
  <si>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</si>
  <si>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</si>
  <si>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</si>
  <si>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</si>
  <si>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</si>
  <si>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</si>
  <si>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</si>
  <si>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</si>
  <si>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</si>
  <si>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</si>
  <si>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</si>
  <si>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</si>
  <si>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</si>
  <si>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</si>
  <si>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</si>
  <si>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</si>
  <si>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</si>
  <si>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</si>
  <si>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</si>
  <si>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</si>
  <si>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</si>
  <si>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</si>
  <si>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</si>
  <si>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</si>
  <si>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</si>
  <si>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</si>
  <si>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</si>
  <si>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</si>
  <si>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</si>
  <si>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</si>
  <si>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</si>
  <si>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</si>
  <si>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</si>
  <si>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</si>
  <si>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</si>
  <si>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</si>
  <si>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</si>
  <si>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</si>
  <si>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</si>
  <si>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</si>
  <si>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</si>
  <si>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</si>
  <si>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</si>
  <si>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</si>
  <si>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</si>
  <si>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</si>
  <si>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</si>
  <si>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</si>
  <si>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</si>
  <si>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</si>
  <si>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</si>
  <si>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</si>
  <si>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</si>
  <si>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</si>
  <si>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</si>
  <si>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</si>
  <si>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</si>
  <si>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</si>
  <si>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</si>
  <si>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</si>
  <si>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</si>
  <si>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</si>
  <si>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</si>
  <si>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</si>
  <si>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</si>
  <si>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</si>
  <si>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</si>
  <si>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</si>
  <si>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</si>
  <si>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</si>
  <si>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</si>
  <si>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</si>
  <si>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</si>
  <si>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</si>
  <si>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</si>
  <si>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</si>
  <si>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</si>
  <si>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</si>
  <si>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</si>
  <si>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</si>
  <si>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</si>
  <si>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</si>
  <si>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</si>
  <si>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</si>
  <si>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</si>
  <si>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</si>
  <si>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</si>
  <si>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</si>
  <si>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</si>
  <si>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</si>
  <si>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</si>
  <si>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</si>
  <si>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</si>
  <si>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</si>
  <si>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</si>
  <si>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</si>
  <si>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</si>
  <si>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</si>
  <si>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</si>
  <si>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</si>
  <si>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</si>
  <si>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</si>
  <si>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</si>
  <si>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</si>
  <si>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</si>
  <si>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</si>
  <si>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</si>
  <si>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</si>
  <si>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</si>
  <si>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</si>
  <si>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</si>
  <si>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</si>
  <si>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</si>
  <si>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</si>
  <si>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</si>
  <si>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</si>
  <si>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</si>
  <si>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</si>
  <si>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</si>
  <si>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</si>
  <si>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</si>
  <si>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</si>
  <si>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</si>
  <si>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</si>
  <si>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</si>
  <si>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</si>
  <si>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</si>
  <si>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</si>
  <si>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</si>
  <si>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</si>
  <si>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</si>
  <si>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</si>
  <si>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</si>
  <si>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</si>
  <si>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</si>
  <si>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</si>
  <si>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</si>
  <si>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</si>
  <si>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</si>
  <si>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</si>
  <si>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</si>
  <si>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</si>
  <si>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</si>
  <si>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</si>
  <si>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</si>
  <si>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</si>
  <si>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</si>
  <si>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</si>
  <si>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</si>
  <si>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</si>
  <si>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</si>
  <si>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</si>
  <si>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</si>
  <si>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</si>
  <si>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</si>
  <si>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</si>
  <si>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</si>
  <si>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</si>
  <si>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</si>
  <si>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</si>
  <si>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</si>
  <si>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</si>
  <si>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</si>
  <si>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</si>
  <si>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</si>
  <si>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</si>
  <si>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</si>
  <si>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</si>
  <si>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</si>
  <si>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</si>
  <si>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</si>
  <si>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</si>
  <si>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</si>
  <si>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</si>
  <si>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</si>
  <si>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</si>
  <si>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</si>
  <si>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</si>
  <si>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</si>
  <si>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</si>
  <si>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</si>
  <si>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</si>
  <si>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</si>
  <si>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</si>
  <si>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</si>
  <si>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</si>
  <si>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</si>
  <si>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</si>
  <si>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</si>
  <si>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</si>
  <si>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</si>
  <si>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</si>
  <si>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</si>
  <si>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</si>
  <si>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</si>
  <si>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</si>
  <si>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</si>
  <si>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</si>
  <si>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</si>
  <si>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</si>
  <si>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</si>
  <si>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</si>
  <si>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</si>
  <si>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</si>
  <si>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</si>
  <si>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</si>
  <si>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</si>
  <si>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</si>
  <si>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</si>
  <si>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</si>
  <si>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</si>
  <si>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</si>
  <si>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</si>
  <si>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</si>
  <si>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</si>
  <si>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</si>
  <si>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</si>
  <si>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</si>
  <si>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</si>
  <si>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</si>
  <si>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</si>
  <si>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</si>
  <si>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</si>
  <si>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</si>
  <si>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</si>
  <si>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</si>
  <si>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</si>
  <si>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</si>
  <si>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</si>
  <si>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</si>
  <si>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</si>
  <si>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</si>
  <si>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</si>
  <si>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</si>
  <si>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</si>
  <si>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</si>
  <si>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</si>
  <si>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</si>
  <si>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</si>
  <si>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</si>
  <si>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</si>
  <si>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</si>
  <si>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</si>
  <si>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</si>
  <si>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</si>
  <si>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</si>
  <si>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</si>
  <si>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</si>
  <si>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</si>
  <si>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</si>
  <si>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</si>
  <si>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</si>
  <si>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</si>
  <si>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</si>
  <si>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</si>
  <si>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</si>
  <si>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</si>
  <si>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</si>
  <si>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</si>
  <si>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</si>
  <si>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</si>
  <si>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</si>
  <si>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JTR</t>
  </si>
  <si>
    <t>PEKERJAAN PEMASANGAN APP</t>
  </si>
  <si>
    <t xml:space="preserve">Jumper Wire : </t>
  </si>
  <si>
    <t>PEKERJAAN PEMASANGAN TRAFO</t>
  </si>
  <si>
    <t xml:space="preserve">KOORDINAT : </t>
  </si>
  <si>
    <t>PEKERJAAN KELENGKAPAN KONSTRUKSI</t>
  </si>
  <si>
    <t>CM2-11M</t>
  </si>
  <si>
    <t>Stainless Steel Strap 20 X 0.7 mm</t>
  </si>
  <si>
    <t>CJ6-T</t>
  </si>
  <si>
    <t>Wirosari,  Januari 2024</t>
  </si>
  <si>
    <t>KSPPS PONTREN</t>
  </si>
  <si>
    <t>SEMBUNGHARJO</t>
  </si>
  <si>
    <t>Daya 11.000 VA</t>
  </si>
  <si>
    <t>Trafo 1 Fasa CSP 50 KVA (G105, G106, G136)</t>
  </si>
  <si>
    <t>NFA2X-T 2 x 70 + N 50 mm²</t>
  </si>
  <si>
    <t>CJ5-T</t>
  </si>
  <si>
    <t>-7,121626,111,010274</t>
  </si>
  <si>
    <t>K2-29/250</t>
  </si>
  <si>
    <t>PWI 8</t>
  </si>
  <si>
    <t>25KVA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</si>
</sst>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  <font>
      <sz val="16"/>
      <color rgb="FFFF0000"/>
      <name val="Calibri"/>
      <family val="2"/>
      <scheme val="minor"/>
    </font>
    <font>
      <b/>
      <sz val="11"/>
      <color rgb="FFFF0000"/>
      <name val="Monotype Corsiva"/>
      <family val="4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0" fillId="0" borderId="0"/>
    <xf numFmtId="0" fontId="175" fillId="0" borderId="0" applyNumberFormat="0" applyFill="0" applyBorder="0" applyAlignment="0" applyProtection="0"/>
  </cellStyleXfs>
  <cellXfs count="717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167" fontId="140" fillId="40" borderId="85" xfId="2672" applyFont="1" applyFill="1" applyBorder="1" applyAlignment="1" applyProtection="1">
      <alignment horizontal="right" vertical="center" wrapText="1"/>
      <protection locked="0"/>
    </xf>
    <xf numFmtId="167" fontId="140" fillId="40" borderId="87" xfId="2672" applyFont="1" applyFill="1" applyBorder="1" applyAlignment="1" applyProtection="1">
      <alignment horizontal="right" vertical="center"/>
      <protection locked="0"/>
    </xf>
    <xf numFmtId="169" fontId="140" fillId="40" borderId="87" xfId="2672" applyNumberFormat="1" applyFont="1" applyFill="1" applyBorder="1" applyAlignment="1" applyProtection="1">
      <alignment horizontal="right" vertical="center"/>
      <protection locked="0"/>
    </xf>
    <xf numFmtId="169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9" fillId="0" borderId="21" xfId="1614" applyFont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41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9" fontId="144" fillId="46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119" fillId="0" borderId="99" xfId="1450" applyFont="1" applyBorder="1" applyAlignment="1">
      <alignment horizontal="center" vertical="center"/>
    </xf>
    <xf numFmtId="0" fontId="175" fillId="33" borderId="0" xfId="2678" applyFill="1"/>
    <xf numFmtId="0" fontId="43" fillId="0" borderId="21" xfId="1451" applyFont="1" applyFill="1" applyBorder="1" applyAlignment="1">
      <alignment horizontal="left" vertical="center" wrapText="1"/>
    </xf>
    <xf numFmtId="0" fontId="114" fillId="33" borderId="0" xfId="0" applyFont="1" applyFill="1" applyAlignment="1">
      <alignment vertical="center" wrapText="1"/>
    </xf>
    <xf numFmtId="0" fontId="114" fillId="33" borderId="37" xfId="0" applyFont="1" applyFill="1" applyBorder="1" applyAlignment="1">
      <alignment vertical="center" wrapText="1"/>
    </xf>
    <xf numFmtId="0" fontId="114" fillId="33" borderId="44" xfId="0" applyFont="1" applyFill="1" applyBorder="1" applyAlignment="1">
      <alignment vertical="center" wrapText="1"/>
    </xf>
    <xf numFmtId="0" fontId="114" fillId="33" borderId="45" xfId="0" applyFont="1" applyFill="1" applyBorder="1" applyAlignment="1">
      <alignment vertical="center" wrapText="1"/>
    </xf>
    <xf numFmtId="0" fontId="114" fillId="33" borderId="18" xfId="0" applyFont="1" applyFill="1" applyBorder="1" applyAlignment="1">
      <alignment vertical="center" wrapText="1"/>
    </xf>
    <xf numFmtId="0" fontId="114" fillId="33" borderId="43" xfId="0" applyFont="1" applyFill="1" applyBorder="1" applyAlignment="1">
      <alignment vertical="center" wrapText="1"/>
    </xf>
    <xf numFmtId="0" fontId="42" fillId="0" borderId="21" xfId="1615" applyNumberFormat="1" applyFont="1" applyFill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2" fillId="0" borderId="20" xfId="1615" applyFont="1" applyFill="1" applyBorder="1" applyAlignment="1">
      <alignment horizontal="center" vertical="center"/>
    </xf>
    <xf numFmtId="0" fontId="9" fillId="0" borderId="21" xfId="1614" applyFont="1" applyFill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0" fontId="113" fillId="0" borderId="20" xfId="1652" applyFont="1" applyFill="1" applyBorder="1" applyAlignment="1">
      <alignment horizontal="center" vertical="center"/>
    </xf>
    <xf numFmtId="0" fontId="9" fillId="0" borderId="21" xfId="1614" applyFont="1" applyFill="1" applyBorder="1" applyAlignment="1">
      <alignment horizontal="center" vertical="center" wrapText="1"/>
    </xf>
    <xf numFmtId="0" fontId="43" fillId="0" borderId="21" xfId="0" applyFont="1" applyFill="1" applyBorder="1" applyAlignment="1">
      <alignment horizontal="left" vertical="center" wrapText="1"/>
    </xf>
    <xf numFmtId="3" fontId="9" fillId="0" borderId="21" xfId="1599" applyNumberFormat="1" applyFont="1" applyFill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41" fontId="152" fillId="0" borderId="0" xfId="1614" applyNumberFormat="1" applyFont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76" fillId="33" borderId="0" xfId="0" quotePrefix="1" applyFont="1" applyFill="1" applyAlignment="1">
      <alignment horizontal="center"/>
    </xf>
    <xf numFmtId="0" fontId="43" fillId="0" borderId="21" xfId="1450" applyFont="1" applyFill="1" applyBorder="1" applyAlignment="1">
      <alignment vertical="center" wrapText="1"/>
    </xf>
    <xf numFmtId="0" fontId="113" fillId="0" borderId="21" xfId="1652" applyFont="1" applyFill="1" applyBorder="1" applyAlignment="1">
      <alignment vertical="center"/>
    </xf>
    <xf numFmtId="14" fontId="95" fillId="0" borderId="0" xfId="1653" applyNumberFormat="1" applyFont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43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4" borderId="3" xfId="2673" applyNumberFormat="1" applyFont="1" applyFill="1" applyBorder="1" applyAlignment="1">
      <alignment horizontal="center" vertical="center" wrapText="1"/>
    </xf>
    <xf numFmtId="2" fontId="134" fillId="44" borderId="39" xfId="2673" applyNumberFormat="1" applyFont="1" applyFill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167" fontId="153" fillId="0" borderId="0" xfId="1614" applyNumberFormat="1" applyFont="1" applyAlignment="1">
      <alignment horizontal="left" vertical="top" wrapText="1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8" fontId="119" fillId="0" borderId="73" xfId="1450" applyNumberFormat="1" applyFont="1" applyBorder="1" applyAlignment="1">
      <alignment horizontal="left" vertical="center"/>
    </xf>
    <xf numFmtId="208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91" fillId="33" borderId="61" xfId="0" applyFont="1" applyFill="1" applyBorder="1" applyAlignment="1">
      <alignment horizontal="left" vertical="center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114" fillId="33" borderId="64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18" xfId="0" applyFont="1" applyFill="1" applyBorder="1" applyAlignment="1">
      <alignment horizontal="center" vertical="center" wrapText="1"/>
    </xf>
    <xf numFmtId="0" fontId="114" fillId="33" borderId="0" xfId="0" applyFont="1" applyFill="1" applyBorder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  <xf numFmtId="0" fontId="177" fillId="0" borderId="0" xfId="2673" applyFont="1" applyAlignment="1">
      <alignment vertical="center" wrapText="1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emf"/><Relationship Id="rId13" Type="http://schemas.openxmlformats.org/officeDocument/2006/relationships/image" Target="../media/image24.emf"/><Relationship Id="rId3" Type="http://schemas.openxmlformats.org/officeDocument/2006/relationships/image" Target="../media/image14.emf"/><Relationship Id="rId7" Type="http://schemas.openxmlformats.org/officeDocument/2006/relationships/image" Target="../media/image18.emf"/><Relationship Id="rId12" Type="http://schemas.openxmlformats.org/officeDocument/2006/relationships/image" Target="../media/image23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17.emf"/><Relationship Id="rId11" Type="http://schemas.openxmlformats.org/officeDocument/2006/relationships/image" Target="../media/image22.emf"/><Relationship Id="rId5" Type="http://schemas.openxmlformats.org/officeDocument/2006/relationships/image" Target="../media/image16.emf"/><Relationship Id="rId10" Type="http://schemas.openxmlformats.org/officeDocument/2006/relationships/image" Target="../media/image21.emf"/><Relationship Id="rId4" Type="http://schemas.openxmlformats.org/officeDocument/2006/relationships/image" Target="../media/image15.emf"/><Relationship Id="rId9" Type="http://schemas.openxmlformats.org/officeDocument/2006/relationships/image" Target="../media/image20.emf"/><Relationship Id="rId14" Type="http://schemas.openxmlformats.org/officeDocument/2006/relationships/image" Target="../media/image2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5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5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212910</xdr:colOff>
      <xdr:row>25</xdr:row>
      <xdr:rowOff>100853</xdr:rowOff>
    </xdr:from>
    <xdr:to>
      <xdr:col>16</xdr:col>
      <xdr:colOff>320910</xdr:colOff>
      <xdr:row>25</xdr:row>
      <xdr:rowOff>100853</xdr:rowOff>
    </xdr:to>
    <xdr:sp macro="" textlink="">
      <xdr:nvSpPr>
        <xdr:cNvPr id="2" name="Freeform 1"/>
        <xdr:cNvSpPr/>
      </xdr:nvSpPr>
      <xdr:spPr>
        <a:xfrm>
          <a:off x="1288675" y="4134971"/>
          <a:ext cx="4680000" cy="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44821</xdr:colOff>
      <xdr:row>28</xdr:row>
      <xdr:rowOff>9412</xdr:rowOff>
    </xdr:from>
    <xdr:to>
      <xdr:col>20</xdr:col>
      <xdr:colOff>112057</xdr:colOff>
      <xdr:row>28</xdr:row>
      <xdr:rowOff>9412</xdr:rowOff>
    </xdr:to>
    <xdr:sp macro="" textlink="">
      <xdr:nvSpPr>
        <xdr:cNvPr id="104" name="Freeform 103"/>
        <xdr:cNvSpPr/>
      </xdr:nvSpPr>
      <xdr:spPr>
        <a:xfrm flipH="1" flipV="1">
          <a:off x="739586" y="4514177"/>
          <a:ext cx="6544236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67733</xdr:colOff>
      <xdr:row>17</xdr:row>
      <xdr:rowOff>140071</xdr:rowOff>
    </xdr:from>
    <xdr:to>
      <xdr:col>17</xdr:col>
      <xdr:colOff>190501</xdr:colOff>
      <xdr:row>21</xdr:row>
      <xdr:rowOff>89647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5334498" y="2919130"/>
          <a:ext cx="884768" cy="57710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KSPPS PONTREN 11KVA</a:t>
          </a: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8262" y="795617"/>
          <a:ext cx="1504956" cy="2311026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687486" y="3003212"/>
          <a:ext cx="249380" cy="231800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69502" y="2952378"/>
          <a:ext cx="251113" cy="231800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280148</xdr:colOff>
      <xdr:row>29</xdr:row>
      <xdr:rowOff>84606</xdr:rowOff>
    </xdr:from>
    <xdr:to>
      <xdr:col>18</xdr:col>
      <xdr:colOff>246531</xdr:colOff>
      <xdr:row>34</xdr:row>
      <xdr:rowOff>78441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5546913" y="4746253"/>
          <a:ext cx="1109383" cy="7670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K2-29/242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CG 136 50 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CM2-11M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CJ6T</a:t>
          </a:r>
        </a:p>
      </xdr:txBody>
    </xdr:sp>
    <xdr:clientData/>
  </xdr:twoCellAnchor>
  <xdr:twoCellAnchor>
    <xdr:from>
      <xdr:col>14</xdr:col>
      <xdr:colOff>11206</xdr:colOff>
      <xdr:row>23</xdr:row>
      <xdr:rowOff>89649</xdr:rowOff>
    </xdr:from>
    <xdr:to>
      <xdr:col>14</xdr:col>
      <xdr:colOff>143188</xdr:colOff>
      <xdr:row>24</xdr:row>
      <xdr:rowOff>75328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896971" y="3810002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240881</xdr:colOff>
      <xdr:row>24</xdr:row>
      <xdr:rowOff>128149</xdr:rowOff>
    </xdr:from>
    <xdr:to>
      <xdr:col>16</xdr:col>
      <xdr:colOff>12281</xdr:colOff>
      <xdr:row>25</xdr:row>
      <xdr:rowOff>109218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5507646" y="4005384"/>
          <a:ext cx="152400" cy="137952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334816</xdr:colOff>
      <xdr:row>24</xdr:row>
      <xdr:rowOff>46534</xdr:rowOff>
    </xdr:from>
    <xdr:to>
      <xdr:col>10</xdr:col>
      <xdr:colOff>74132</xdr:colOff>
      <xdr:row>24</xdr:row>
      <xdr:rowOff>155248</xdr:rowOff>
    </xdr:to>
    <xdr:grpSp>
      <xdr:nvGrpSpPr>
        <xdr:cNvPr id="143" name="Group 142"/>
        <xdr:cNvGrpSpPr/>
      </xdr:nvGrpSpPr>
      <xdr:grpSpPr>
        <a:xfrm>
          <a:off x="3315581" y="3923769"/>
          <a:ext cx="120316" cy="108714"/>
          <a:chOff x="4552393" y="5147729"/>
          <a:chExt cx="228791" cy="193248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317081</xdr:colOff>
      <xdr:row>21</xdr:row>
      <xdr:rowOff>89647</xdr:rowOff>
    </xdr:from>
    <xdr:to>
      <xdr:col>16</xdr:col>
      <xdr:colOff>129117</xdr:colOff>
      <xdr:row>24</xdr:row>
      <xdr:rowOff>128149</xdr:rowOff>
    </xdr:to>
    <xdr:cxnSp macro="">
      <xdr:nvCxnSpPr>
        <xdr:cNvPr id="149" name="Straight Connector 148"/>
        <xdr:cNvCxnSpPr>
          <a:stCxn id="337" idx="2"/>
          <a:endCxn id="107" idx="0"/>
        </xdr:cNvCxnSpPr>
      </xdr:nvCxnSpPr>
      <xdr:spPr>
        <a:xfrm flipH="1">
          <a:off x="5583846" y="3496235"/>
          <a:ext cx="193036" cy="50914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235323</xdr:colOff>
      <xdr:row>23</xdr:row>
      <xdr:rowOff>91891</xdr:rowOff>
    </xdr:from>
    <xdr:to>
      <xdr:col>5</xdr:col>
      <xdr:colOff>121952</xdr:colOff>
      <xdr:row>24</xdr:row>
      <xdr:rowOff>112059</xdr:rowOff>
    </xdr:to>
    <xdr:cxnSp macro="">
      <xdr:nvCxnSpPr>
        <xdr:cNvPr id="160" name="Straight Connector 159"/>
        <xdr:cNvCxnSpPr/>
      </xdr:nvCxnSpPr>
      <xdr:spPr>
        <a:xfrm flipV="1">
          <a:off x="1311088" y="3812244"/>
          <a:ext cx="267629" cy="1770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265534</xdr:colOff>
      <xdr:row>24</xdr:row>
      <xdr:rowOff>130391</xdr:rowOff>
    </xdr:from>
    <xdr:to>
      <xdr:col>9</xdr:col>
      <xdr:colOff>36934</xdr:colOff>
      <xdr:row>25</xdr:row>
      <xdr:rowOff>111460</xdr:rowOff>
    </xdr:to>
    <xdr:grpSp>
      <xdr:nvGrpSpPr>
        <xdr:cNvPr id="112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2865299" y="4007626"/>
          <a:ext cx="152400" cy="137952"/>
          <a:chOff x="3725636" y="1945820"/>
          <a:chExt cx="153760" cy="144237"/>
        </a:xfrm>
        <a:noFill/>
      </xdr:grpSpPr>
      <xdr:sp macro="" textlink="">
        <xdr:nvSpPr>
          <xdr:cNvPr id="113" name="Oval 112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13" idx="1"/>
            <a:endCxn id="1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13" idx="3"/>
            <a:endCxn id="1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261051</xdr:colOff>
      <xdr:row>24</xdr:row>
      <xdr:rowOff>125908</xdr:rowOff>
    </xdr:from>
    <xdr:to>
      <xdr:col>11</xdr:col>
      <xdr:colOff>32451</xdr:colOff>
      <xdr:row>25</xdr:row>
      <xdr:rowOff>106977</xdr:rowOff>
    </xdr:to>
    <xdr:grpSp>
      <xdr:nvGrpSpPr>
        <xdr:cNvPr id="11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622816" y="4003143"/>
          <a:ext cx="152400" cy="137952"/>
          <a:chOff x="3725636" y="1945820"/>
          <a:chExt cx="153760" cy="144237"/>
        </a:xfrm>
        <a:noFill/>
      </xdr:grpSpPr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17" idx="1"/>
            <a:endCxn id="1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17" idx="3"/>
            <a:endCxn id="1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77275</xdr:colOff>
      <xdr:row>24</xdr:row>
      <xdr:rowOff>121425</xdr:rowOff>
    </xdr:from>
    <xdr:to>
      <xdr:col>12</xdr:col>
      <xdr:colOff>229675</xdr:colOff>
      <xdr:row>25</xdr:row>
      <xdr:rowOff>102494</xdr:rowOff>
    </xdr:to>
    <xdr:grpSp>
      <xdr:nvGrpSpPr>
        <xdr:cNvPr id="120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201040" y="3998660"/>
          <a:ext cx="152400" cy="137952"/>
          <a:chOff x="3725636" y="1945820"/>
          <a:chExt cx="153760" cy="144237"/>
        </a:xfrm>
        <a:noFill/>
      </xdr:grpSpPr>
      <xdr:sp macro="" textlink="">
        <xdr:nvSpPr>
          <xdr:cNvPr id="121" name="Oval 120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21" idx="1"/>
            <a:endCxn id="12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21" idx="3"/>
            <a:endCxn id="12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27969</xdr:colOff>
      <xdr:row>24</xdr:row>
      <xdr:rowOff>128149</xdr:rowOff>
    </xdr:from>
    <xdr:to>
      <xdr:col>14</xdr:col>
      <xdr:colOff>180369</xdr:colOff>
      <xdr:row>25</xdr:row>
      <xdr:rowOff>109218</xdr:rowOff>
    </xdr:to>
    <xdr:grpSp>
      <xdr:nvGrpSpPr>
        <xdr:cNvPr id="124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913734" y="4005384"/>
          <a:ext cx="152400" cy="137952"/>
          <a:chOff x="3725636" y="1945820"/>
          <a:chExt cx="153760" cy="144237"/>
        </a:xfrm>
        <a:noFill/>
      </xdr:grpSpPr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25" idx="1"/>
            <a:endCxn id="12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25" idx="3"/>
            <a:endCxn id="12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286871</xdr:colOff>
      <xdr:row>24</xdr:row>
      <xdr:rowOff>129094</xdr:rowOff>
    </xdr:from>
    <xdr:to>
      <xdr:col>15</xdr:col>
      <xdr:colOff>347382</xdr:colOff>
      <xdr:row>24</xdr:row>
      <xdr:rowOff>129094</xdr:rowOff>
    </xdr:to>
    <xdr:sp macro="" textlink="">
      <xdr:nvSpPr>
        <xdr:cNvPr id="128" name="Freeform 127"/>
        <xdr:cNvSpPr/>
      </xdr:nvSpPr>
      <xdr:spPr>
        <a:xfrm flipV="1">
          <a:off x="2886636" y="4006329"/>
          <a:ext cx="2727511" cy="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305875</xdr:colOff>
      <xdr:row>24</xdr:row>
      <xdr:rowOff>92291</xdr:rowOff>
    </xdr:from>
    <xdr:to>
      <xdr:col>7</xdr:col>
      <xdr:colOff>77275</xdr:colOff>
      <xdr:row>25</xdr:row>
      <xdr:rowOff>73360</xdr:rowOff>
    </xdr:to>
    <xdr:grpSp>
      <xdr:nvGrpSpPr>
        <xdr:cNvPr id="129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2143640" y="3969526"/>
          <a:ext cx="152400" cy="137952"/>
          <a:chOff x="3725636" y="1945820"/>
          <a:chExt cx="153760" cy="144237"/>
        </a:xfrm>
        <a:noFill/>
      </xdr:grpSpPr>
      <xdr:sp macro="" textlink="">
        <xdr:nvSpPr>
          <xdr:cNvPr id="130" name="Oval 129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30" idx="1"/>
            <a:endCxn id="13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30" idx="3"/>
            <a:endCxn id="13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99686</xdr:colOff>
      <xdr:row>24</xdr:row>
      <xdr:rowOff>110221</xdr:rowOff>
    </xdr:from>
    <xdr:to>
      <xdr:col>5</xdr:col>
      <xdr:colOff>252086</xdr:colOff>
      <xdr:row>25</xdr:row>
      <xdr:rowOff>91290</xdr:rowOff>
    </xdr:to>
    <xdr:grpSp>
      <xdr:nvGrpSpPr>
        <xdr:cNvPr id="133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1556451" y="3987456"/>
          <a:ext cx="152400" cy="137952"/>
          <a:chOff x="3725636" y="1945820"/>
          <a:chExt cx="153760" cy="144237"/>
        </a:xfrm>
        <a:noFill/>
      </xdr:grpSpPr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34" idx="1"/>
            <a:endCxn id="1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34" idx="3"/>
            <a:endCxn id="1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320488</xdr:colOff>
      <xdr:row>23</xdr:row>
      <xdr:rowOff>85166</xdr:rowOff>
    </xdr:from>
    <xdr:to>
      <xdr:col>5</xdr:col>
      <xdr:colOff>71470</xdr:colOff>
      <xdr:row>24</xdr:row>
      <xdr:rowOff>70845</xdr:rowOff>
    </xdr:to>
    <xdr:sp macro="" textlink="">
      <xdr:nvSpPr>
        <xdr:cNvPr id="137" name="Isosceles Triangle 136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1396253" y="3805519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136712</xdr:colOff>
      <xdr:row>24</xdr:row>
      <xdr:rowOff>124609</xdr:rowOff>
    </xdr:from>
    <xdr:to>
      <xdr:col>8</xdr:col>
      <xdr:colOff>302559</xdr:colOff>
      <xdr:row>24</xdr:row>
      <xdr:rowOff>124609</xdr:rowOff>
    </xdr:to>
    <xdr:sp macro="" textlink="">
      <xdr:nvSpPr>
        <xdr:cNvPr id="138" name="Freeform 137"/>
        <xdr:cNvSpPr/>
      </xdr:nvSpPr>
      <xdr:spPr>
        <a:xfrm>
          <a:off x="1593477" y="4001844"/>
          <a:ext cx="1308847" cy="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184657</xdr:colOff>
      <xdr:row>24</xdr:row>
      <xdr:rowOff>98082</xdr:rowOff>
    </xdr:from>
    <xdr:to>
      <xdr:col>11</xdr:col>
      <xdr:colOff>304973</xdr:colOff>
      <xdr:row>25</xdr:row>
      <xdr:rowOff>49913</xdr:rowOff>
    </xdr:to>
    <xdr:grpSp>
      <xdr:nvGrpSpPr>
        <xdr:cNvPr id="139" name="Group 138"/>
        <xdr:cNvGrpSpPr/>
      </xdr:nvGrpSpPr>
      <xdr:grpSpPr>
        <a:xfrm>
          <a:off x="3927422" y="3975317"/>
          <a:ext cx="120316" cy="108714"/>
          <a:chOff x="4552393" y="5147729"/>
          <a:chExt cx="228791" cy="193248"/>
        </a:xfrm>
      </xdr:grpSpPr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168969</xdr:colOff>
      <xdr:row>24</xdr:row>
      <xdr:rowOff>37570</xdr:rowOff>
    </xdr:from>
    <xdr:to>
      <xdr:col>13</xdr:col>
      <xdr:colOff>289285</xdr:colOff>
      <xdr:row>24</xdr:row>
      <xdr:rowOff>146284</xdr:rowOff>
    </xdr:to>
    <xdr:grpSp>
      <xdr:nvGrpSpPr>
        <xdr:cNvPr id="148" name="Group 147"/>
        <xdr:cNvGrpSpPr/>
      </xdr:nvGrpSpPr>
      <xdr:grpSpPr>
        <a:xfrm>
          <a:off x="4673734" y="3914805"/>
          <a:ext cx="120316" cy="108714"/>
          <a:chOff x="4552393" y="5147729"/>
          <a:chExt cx="228791" cy="193248"/>
        </a:xfrm>
      </xdr:grpSpPr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63634</xdr:colOff>
      <xdr:row>24</xdr:row>
      <xdr:rowOff>33088</xdr:rowOff>
    </xdr:from>
    <xdr:to>
      <xdr:col>15</xdr:col>
      <xdr:colOff>183950</xdr:colOff>
      <xdr:row>24</xdr:row>
      <xdr:rowOff>141802</xdr:rowOff>
    </xdr:to>
    <xdr:grpSp>
      <xdr:nvGrpSpPr>
        <xdr:cNvPr id="158" name="Group 157"/>
        <xdr:cNvGrpSpPr/>
      </xdr:nvGrpSpPr>
      <xdr:grpSpPr>
        <a:xfrm>
          <a:off x="5330399" y="3910323"/>
          <a:ext cx="120316" cy="108714"/>
          <a:chOff x="4552393" y="5147729"/>
          <a:chExt cx="228791" cy="193248"/>
        </a:xfrm>
      </xdr:grpSpPr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372916</xdr:colOff>
      <xdr:row>22</xdr:row>
      <xdr:rowOff>73428</xdr:rowOff>
    </xdr:from>
    <xdr:to>
      <xdr:col>16</xdr:col>
      <xdr:colOff>112232</xdr:colOff>
      <xdr:row>23</xdr:row>
      <xdr:rowOff>25260</xdr:rowOff>
    </xdr:to>
    <xdr:grpSp>
      <xdr:nvGrpSpPr>
        <xdr:cNvPr id="163" name="Group 162"/>
        <xdr:cNvGrpSpPr/>
      </xdr:nvGrpSpPr>
      <xdr:grpSpPr>
        <a:xfrm>
          <a:off x="5639681" y="3636899"/>
          <a:ext cx="120316" cy="108714"/>
          <a:chOff x="4552393" y="5147729"/>
          <a:chExt cx="228791" cy="193248"/>
        </a:xfrm>
      </xdr:grpSpPr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280147</xdr:colOff>
      <xdr:row>23</xdr:row>
      <xdr:rowOff>89647</xdr:rowOff>
    </xdr:from>
    <xdr:to>
      <xdr:col>5</xdr:col>
      <xdr:colOff>136712</xdr:colOff>
      <xdr:row>24</xdr:row>
      <xdr:rowOff>124609</xdr:rowOff>
    </xdr:to>
    <xdr:cxnSp macro="">
      <xdr:nvCxnSpPr>
        <xdr:cNvPr id="167" name="Straight Connector 166"/>
        <xdr:cNvCxnSpPr>
          <a:endCxn id="138" idx="0"/>
        </xdr:cNvCxnSpPr>
      </xdr:nvCxnSpPr>
      <xdr:spPr>
        <a:xfrm>
          <a:off x="1355912" y="3810000"/>
          <a:ext cx="237565" cy="19184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6725</xdr:colOff>
      <xdr:row>16</xdr:row>
      <xdr:rowOff>12887</xdr:rowOff>
    </xdr:from>
    <xdr:to>
      <xdr:col>6</xdr:col>
      <xdr:colOff>354108</xdr:colOff>
      <xdr:row>22</xdr:row>
      <xdr:rowOff>100851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1082490" y="2635063"/>
          <a:ext cx="1109383" cy="1029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K2-29/242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CG 136 25 KVA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DI BONGKAR UNTUK PB 11KVA AN PURWANTO MAYAHAN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1134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14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1135</v>
      </c>
      <c r="G7" s="531" t="s">
        <v>41</v>
      </c>
      <c r="H7" s="527" t="s">
        <v>1042</v>
      </c>
      <c r="I7" s="527" t="s">
        <v>1137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220</v>
      </c>
      <c r="G16" s="41">
        <f ca="1">IF(ISERROR(OFFSET('HARGA SATUAN'!$I$6,MATCH(C16,'HARGA SATUAN'!$C$7:$C$1492,0),0)),"",OFFSET('HARGA SATUAN'!$I$6,MATCH(C16,'HARGA SATUAN'!$C$7:$C$1492,0),0))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35</v>
      </c>
      <c r="G17" s="41">
        <f ca="1">IF(ISERROR(OFFSET('HARGA SATUAN'!$I$6,MATCH(C17,'HARGA SATUAN'!$C$7:$C$1492,0),0)),"",OFFSET('HARGA SATUAN'!$I$6,MATCH(C17,'HARGA SATUAN'!$C$7:$C$1492,0),0))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SUMIFS(RAB!$F$14:$F$69,RAB!$C$14:$C$69,C714)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SUMIFS(RAB!$F$14:$F$69,RAB!$C$14:$C$69,C715)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SUMIFS(RAB!$F$14:$F$69,RAB!$C$14:$C$69,C716)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SUMIFS(RAB!$F$14:$F$69,RAB!$C$14:$C$69,C717)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SUMIFS(RAB!$F$14:$F$69,RAB!$C$14:$C$69,C718)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SUMIFS(RAB!$F$14:$F$69,RAB!$C$14:$C$69,C719)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SUMIFS(RAB!$F$14:$F$69,RAB!$C$14:$C$69,C720)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SUMIFS(RAB!$F$14:$F$69,RAB!$C$14:$C$69,C721)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SUMIFS(RAB!$F$14:$F$69,RAB!$C$14:$C$69,C722)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SUMIFS(RAB!$F$14:$F$69,RAB!$C$14:$C$69,C723)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SUMIFS(RAB!$F$14:$F$69,RAB!$C$14:$C$69,C724)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SUMIFS(RAB!$F$14:$F$69,RAB!$C$14:$C$69,C725)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SUMIFS(RAB!$F$14:$F$69,RAB!$C$14:$C$69,C726)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SUMIFS(RAB!$F$14:$F$69,RAB!$C$14:$C$69,C727)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SUMIFS(RAB!$F$14:$F$69,RAB!$C$14:$C$69,C728)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SUMIFS(RAB!$F$14:$F$69,RAB!$C$14:$C$69,C729)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SUMIFS(RAB!$F$14:$F$69,RAB!$C$14:$C$69,C730)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SUMIFS(RAB!$F$14:$F$69,RAB!$C$14:$C$69,C731)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SUMIFS(RAB!$F$14:$F$69,RAB!$C$14:$C$69,C732)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SUMIFS(RAB!$F$14:$F$69,RAB!$C$14:$C$69,C733)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SUMIFS(RAB!$F$14:$F$69,RAB!$C$14:$C$69,C734)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SUMIFS(RAB!$F$14:$F$69,RAB!$C$14:$C$69,C735)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SUMIFS(RAB!$F$14:$F$69,RAB!$C$14:$C$69,C736)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SUMIFS(RAB!$F$14:$F$69,RAB!$C$14:$C$69,C737)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SUMIFS(RAB!$F$14:$F$69,RAB!$C$14:$C$69,C738)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SUMIFS(RAB!$F$14:$F$69,RAB!$C$14:$C$69,C739)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SUMIFS(RAB!$F$14:$F$69,RAB!$C$14:$C$69,C740)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SUMIFS(RAB!$F$14:$F$69,RAB!$C$14:$C$69,C741)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SUMIFS(RAB!$F$14:$F$69,RAB!$C$14:$C$69,C742)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SUMIFS(RAB!$F$14:$F$69,RAB!$C$14:$C$69,C743)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SUMIFS(RAB!$F$14:$F$69,RAB!$C$14:$C$69,C744)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SUMIFS(RAB!$F$14:$F$69,RAB!$C$14:$C$69,C745)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SUMIFS(RAB!$F$14:$F$69,RAB!$C$14:$C$69,C746)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SUMIFS(RAB!$F$14:$F$69,RAB!$C$14:$C$69,C747)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SUMIFS(RAB!$F$14:$F$69,RAB!$C$14:$C$69,C748)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SUMIFS(RAB!$F$14:$F$69,RAB!$C$14:$C$69,C749)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SUMIFS(RAB!$F$14:$F$69,RAB!$C$14:$C$69,C750)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SUMIFS(RAB!$F$14:$F$69,RAB!$C$14:$C$69,C751)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SUMIFS(RAB!$F$14:$F$69,RAB!$C$14:$C$69,C752)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SUMIFS(RAB!$F$14:$F$69,RAB!$C$14:$C$69,C753)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SUMIFS(RAB!$F$14:$F$69,RAB!$C$14:$C$69,C754)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SUMIFS(RAB!$F$14:$F$69,RAB!$C$14:$C$69,C755)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SUMIFS(RAB!$F$14:$F$69,RAB!$C$14:$C$69,C756)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SUMIFS(RAB!$F$14:$F$69,RAB!$C$14:$C$69,C757)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SUMIFS(RAB!$F$14:$F$69,RAB!$C$14:$C$69,C758)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SUMIFS(RAB!$F$14:$F$69,RAB!$C$14:$C$69,C759)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SUMIFS(RAB!$F$14:$F$69,RAB!$C$14:$C$69,C760)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SUMIFS(RAB!$F$14:$F$69,RAB!$C$14:$C$69,C761)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SUMIFS(RAB!$F$14:$F$69,RAB!$C$14:$C$69,C762)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SUMIFS(RAB!$F$14:$F$69,RAB!$C$14:$C$69,C763)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SUMIFS(RAB!$F$14:$F$69,RAB!$C$14:$C$69,C764)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SUMIFS(RAB!$F$14:$F$69,RAB!$C$14:$C$69,C765)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SUMIFS(RAB!$F$14:$F$69,RAB!$C$14:$C$69,C766)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SUMIFS(RAB!$F$14:$F$69,RAB!$C$14:$C$69,C767)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SUMIFS(RAB!$F$14:$F$69,RAB!$C$14:$C$69,C768)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SUMIFS(RAB!$F$14:$F$69,RAB!$C$14:$C$69,C769)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SUMIFS(RAB!$F$14:$F$69,RAB!$C$14:$C$69,C770)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SUMIFS(RAB!$F$14:$F$69,RAB!$C$14:$C$69,C771)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SUMIFS(RAB!$F$14:$F$69,RAB!$C$14:$C$69,C772)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SUMIFS(RAB!$F$14:$F$69,RAB!$C$14:$C$69,C773)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SUMIFS(RAB!$F$14:$F$69,RAB!$C$14:$C$69,C774)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SUMIFS(RAB!$F$14:$F$69,RAB!$C$14:$C$69,C775)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SUMIFS(RAB!$F$14:$F$69,RAB!$C$14:$C$69,C776)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SUMIFS(RAB!$F$14:$F$69,RAB!$C$14:$C$69,C777)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SUMIFS(RAB!$F$14:$F$69,RAB!$C$14:$C$69,C778)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SUMIFS(RAB!$F$14:$F$69,RAB!$C$14:$C$69,C779)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SUMIFS(RAB!$F$14:$F$69,RAB!$C$14:$C$69,C780)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SUMIFS(RAB!$F$14:$F$69,RAB!$C$14:$C$69,C781)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SUMIFS(RAB!$F$14:$F$69,RAB!$C$14:$C$69,C782)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SUMIFS(RAB!$F$14:$F$69,RAB!$C$14:$C$69,C783)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SUMIFS(RAB!$F$14:$F$69,RAB!$C$14:$C$69,C784)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SUMIFS(RAB!$F$14:$F$69,RAB!$C$14:$C$69,C785)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SUMIFS(RAB!$F$14:$F$69,RAB!$C$14:$C$69,C786)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SUMIFS(RAB!$F$14:$F$69,RAB!$C$14:$C$69,C787)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SUMIFS(RAB!$F$14:$F$69,RAB!$C$14:$C$69,C788)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SUMIFS(RAB!$F$14:$F$69,RAB!$C$14:$C$69,C789)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SUMIFS(RAB!$F$14:$F$69,RAB!$C$14:$C$69,C790)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SUMIFS(RAB!$F$14:$F$69,RAB!$C$14:$C$69,C791)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SUMIFS(RAB!$F$14:$F$69,RAB!$C$14:$C$69,C792)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SUMIFS(RAB!$F$14:$F$69,RAB!$C$14:$C$69,C793)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SUMIFS(RAB!$F$14:$F$69,RAB!$C$14:$C$69,C794)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SUMIFS(RAB!$F$14:$F$69,RAB!$C$14:$C$69,C795)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SUMIFS(RAB!$F$14:$F$69,RAB!$C$14:$C$69,C796)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SUMIFS(RAB!$F$14:$F$69,RAB!$C$14:$C$69,C797)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SUMIFS(RAB!$F$14:$F$69,RAB!$C$14:$C$69,C798)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SUMIFS(RAB!$F$14:$F$69,RAB!$C$14:$C$69,C799)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SUMIFS(RAB!$F$14:$F$69,RAB!$C$14:$C$69,C800)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SUMIFS(RAB!$F$14:$F$69,RAB!$C$14:$C$69,C801)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SUMIFS(RAB!$F$14:$F$69,RAB!$C$14:$C$69,C802)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SUMIFS(RAB!$F$14:$F$69,RAB!$C$14:$C$69,C803)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SUMIFS(RAB!$F$14:$F$69,RAB!$C$14:$C$69,C804)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SUMIFS(RAB!$F$14:$F$69,RAB!$C$14:$C$69,C805)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SUMIFS(RAB!$F$14:$F$69,RAB!$C$14:$C$69,C806)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SUMIFS(RAB!$F$14:$F$69,RAB!$C$14:$C$69,C807)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SUMIFS(RAB!$F$14:$F$69,RAB!$C$14:$C$69,C808)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SUMIFS(RAB!$F$14:$F$69,RAB!$C$14:$C$69,C809)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SUMIFS(RAB!$F$14:$F$69,RAB!$C$14:$C$69,C810)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SUMIFS(RAB!$F$14:$F$69,RAB!$C$14:$C$69,C811)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SUMIFS(RAB!$F$14:$F$69,RAB!$C$14:$C$69,C812)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SUMIFS(RAB!$F$14:$F$69,RAB!$C$14:$C$69,C813)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SUMIFS(RAB!$F$14:$F$69,RAB!$C$14:$C$69,C814)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SUMIFS(RAB!$F$14:$F$69,RAB!$C$14:$C$69,C815)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SUMIFS(RAB!$F$14:$F$69,RAB!$C$14:$C$69,C816)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SUMIFS(RAB!$F$14:$F$69,RAB!$C$14:$C$69,C817)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SUMIFS(RAB!$F$14:$F$69,RAB!$C$14:$C$69,C818)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SUMIFS(RAB!$F$14:$F$69,RAB!$C$14:$C$69,C819)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SUMIFS(RAB!$F$14:$F$69,RAB!$C$14:$C$69,C820)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SUMIFS(RAB!$F$14:$F$69,RAB!$C$14:$C$69,C821)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SUMIFS(RAB!$F$14:$F$69,RAB!$C$14:$C$69,C822)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SUMIFS(RAB!$F$14:$F$69,RAB!$C$14:$C$69,C823)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SUMIFS(RAB!$F$14:$F$69,RAB!$C$14:$C$69,C824)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SUMIFS(RAB!$F$14:$F$69,RAB!$C$14:$C$69,C825)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SUMIFS(RAB!$F$14:$F$69,RAB!$C$14:$C$69,C826)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SUMIFS(RAB!$F$14:$F$69,RAB!$C$14:$C$69,C827)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SUMIFS(RAB!$F$14:$F$69,RAB!$C$14:$C$69,C828)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SUMIFS(RAB!$F$14:$F$69,RAB!$C$14:$C$69,C829)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SUMIFS(RAB!$F$14:$F$69,RAB!$C$14:$C$69,C830)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SUMIFS(RAB!$F$14:$F$69,RAB!$C$14:$C$69,C831)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SUMIFS(RAB!$F$14:$F$69,RAB!$C$14:$C$69,C832)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SUMIFS(RAB!$F$14:$F$69,RAB!$C$14:$C$69,C833)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SUMIFS(RAB!$F$14:$F$69,RAB!$C$14:$C$69,C834)</f>
        <v>220</v>
      </c>
      <c r="E834" s="26">
        <f t="shared" ca="1" si="34"/>
        <v>1</v>
      </c>
      <c r="F834" s="26">
        <f ca="1">IF(D834=0,0,SUM($E$713:E834))</f>
        <v>5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SUMIFS(RAB!$F$14:$F$69,RAB!$C$14:$C$69,C835)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SUMIFS(RAB!$F$14:$F$69,RAB!$C$14:$C$69,C836)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SUMIFS(RAB!$F$14:$F$69,RAB!$C$14:$C$69,C837)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SUMIFS(RAB!$F$14:$F$69,RAB!$C$14:$C$69,C838)</f>
        <v>35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SUMIFS(RAB!$F$14:$F$69,RAB!$C$14:$C$69,C839)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SUMIFS(RAB!$F$14:$F$69,RAB!$C$14:$C$69,C840)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SUMIFS(RAB!$F$14:$F$69,RAB!$C$14:$C$69,C841)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SUMIFS(RAB!$F$14:$F$69,RAB!$C$14:$C$69,C842)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SUMIFS(RAB!$F$14:$F$69,RAB!$C$14:$C$69,C843)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SUMIFS(RAB!$F$14:$F$69,RAB!$C$14:$C$69,C844)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SUMIFS(RAB!$F$14:$F$69,RAB!$C$14:$C$69,C845)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SUMIFS(RAB!$F$14:$F$69,RAB!$C$14:$C$69,C846)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SUMIFS(RAB!$F$14:$F$69,RAB!$C$14:$C$69,C847)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SUMIFS(RAB!$F$14:$F$69,RAB!$C$14:$C$69,C848)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SUMIFS(RAB!$F$14:$F$69,RAB!$C$14:$C$69,C849)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SUMIFS(RAB!$F$14:$F$69,RAB!$C$14:$C$69,C850)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SUMIFS(RAB!$F$14:$F$69,RAB!$C$14:$C$69,C851)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SUMIFS(RAB!$F$14:$F$69,RAB!$C$14:$C$69,C852)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SUMIFS(RAB!$F$14:$F$69,RAB!$C$14:$C$69,C853)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SUMIFS(RAB!$F$14:$F$69,RAB!$C$14:$C$69,C854)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SUMIFS(RAB!$F$14:$F$69,RAB!$C$14:$C$69,C855)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SUMIFS(RAB!$F$14:$F$69,RAB!$C$14:$C$69,C856)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SUMIFS(RAB!$F$14:$F$69,RAB!$C$14:$C$69,C857)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SUMIFS(RAB!$F$14:$F$69,RAB!$C$14:$C$69,C858)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SUMIFS(RAB!$F$14:$F$69,RAB!$C$14:$C$69,C859)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SUMIFS(RAB!$F$14:$F$69,RAB!$C$14:$C$69,C860)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SUMIFS(RAB!$F$14:$F$69,RAB!$C$14:$C$69,C861)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SUMIFS(RAB!$F$14:$F$69,RAB!$C$14:$C$69,C862)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SUMIFS(RAB!$F$14:$F$69,RAB!$C$14:$C$69,C863)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SUMIFS(RAB!$F$14:$F$69,RAB!$C$14:$C$69,C864)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SUMIFS(RAB!$F$14:$F$69,RAB!$C$14:$C$69,C865)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SUMIFS(RAB!$F$14:$F$69,RAB!$C$14:$C$69,C866)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SUMIFS(RAB!$F$14:$F$69,RAB!$C$14:$C$69,C867)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SUMIFS(RAB!$F$14:$F$69,RAB!$C$14:$C$69,C868)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SUMIFS(RAB!$F$14:$F$69,RAB!$C$14:$C$69,C869)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SUMIFS(RAB!$F$14:$F$69,RAB!$C$14:$C$69,C870)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SUMIFS(RAB!$F$14:$F$69,RAB!$C$14:$C$69,C871)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SUMIFS(RAB!$F$14:$F$69,RAB!$C$14:$C$69,C872)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SUMIFS(RAB!$F$14:$F$69,RAB!$C$14:$C$69,C873)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SUMIFS(RAB!$F$14:$F$69,RAB!$C$14:$C$69,C874)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SUMIFS(RAB!$F$14:$F$69,RAB!$C$14:$C$69,C875)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SUMIFS(RAB!$F$14:$F$69,RAB!$C$14:$C$69,C876)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SUMIFS(RAB!$F$14:$F$69,RAB!$C$14:$C$69,C877)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SUMIFS(RAB!$F$14:$F$69,RAB!$C$14:$C$69,C878)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SUMIFS(RAB!$F$14:$F$69,RAB!$C$14:$C$69,C879)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SUMIFS(RAB!$F$14:$F$69,RAB!$C$14:$C$69,C880)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SUMIFS(RAB!$F$14:$F$69,RAB!$C$14:$C$69,C881)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SUMIFS(RAB!$F$14:$F$69,RAB!$C$14:$C$69,C882)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SUMIFS(RAB!$F$14:$F$69,RAB!$C$14:$C$69,C883)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SUMIFS(RAB!$F$14:$F$69,RAB!$C$14:$C$69,C884)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SUMIFS(RAB!$F$14:$F$69,RAB!$C$14:$C$69,C885)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SUMIFS(RAB!$F$14:$F$69,RAB!$C$14:$C$69,C886)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SUMIFS(RAB!$F$14:$F$69,RAB!$C$14:$C$69,C887)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SUMIFS(RAB!$F$14:$F$69,RAB!$C$14:$C$69,C888)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SUMIFS(RAB!$F$14:$F$69,RAB!$C$14:$C$69,C889)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SUMIFS(RAB!$F$14:$F$69,RAB!$C$14:$C$69,C890)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SUMIFS(RAB!$F$14:$F$69,RAB!$C$14:$C$69,C891)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SUMIFS(RAB!$F$14:$F$69,RAB!$C$14:$C$69,C892)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SUMIFS(RAB!$F$14:$F$69,RAB!$C$14:$C$69,C893)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SUMIFS(RAB!$F$14:$F$69,RAB!$C$14:$C$69,C894)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SUMIFS(RAB!$F$14:$F$69,RAB!$C$14:$C$69,C895)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SUMIFS(RAB!$F$14:$F$69,RAB!$C$14:$C$69,C896)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SUMIFS(RAB!$F$14:$F$69,RAB!$C$14:$C$69,C897)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SUMIFS(RAB!$F$14:$F$69,RAB!$C$14:$C$69,C898)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SUMIFS(RAB!$F$14:$F$69,RAB!$C$14:$C$69,C899)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SUMIFS(RAB!$F$14:$F$69,RAB!$C$14:$C$69,C900)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SUMIFS(RAB!$F$14:$F$69,RAB!$C$14:$C$69,C901)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SUMIFS(RAB!$F$14:$F$69,RAB!$C$14:$C$69,C902)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SUMIFS(RAB!$F$14:$F$69,RAB!$C$14:$C$69,C903)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SUMIFS(RAB!$F$14:$F$69,RAB!$C$14:$C$69,C904)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SUMIFS(RAB!$F$14:$F$69,RAB!$C$14:$C$69,C905)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SUMIFS(RAB!$F$14:$F$69,RAB!$C$14:$C$69,C906)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SUMIFS(RAB!$F$14:$F$69,RAB!$C$14:$C$69,C907)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SUMIFS(RAB!$F$14:$F$69,RAB!$C$14:$C$69,C908)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SUMIFS(RAB!$F$14:$F$69,RAB!$C$14:$C$69,C909)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SUMIFS(RAB!$F$14:$F$69,RAB!$C$14:$C$69,C910)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SUMIFS(RAB!$F$14:$F$69,RAB!$C$14:$C$69,C911)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SUMIFS(RAB!$F$14:$F$69,RAB!$C$14:$C$69,C912)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SUMIFS(RAB!$F$14:$F$69,RAB!$C$14:$C$69,C913)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SUMIFS(RAB!$F$14:$F$69,RAB!$C$14:$C$69,C914)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SUMIFS(RAB!$F$14:$F$69,RAB!$C$14:$C$69,C915)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SUMIFS(RAB!$F$14:$F$69,RAB!$C$14:$C$69,C916)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SUMIFS(RAB!$F$14:$F$69,RAB!$C$14:$C$69,C917)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SUMIFS(RAB!$F$14:$F$69,RAB!$C$14:$C$69,C918)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SUMIFS(RAB!$F$14:$F$69,RAB!$C$14:$C$69,C919)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SUMIFS(RAB!$F$14:$F$69,RAB!$C$14:$C$69,C920)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SUMIFS(RAB!$F$14:$F$69,RAB!$C$14:$C$69,C921)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SUMIFS(RAB!$F$14:$F$69,RAB!$C$14:$C$69,C922)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SUMIFS(RAB!$F$14:$F$69,RAB!$C$14:$C$69,C923)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SUMIFS(RAB!$F$14:$F$69,RAB!$C$14:$C$69,C924)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SUMIFS(RAB!$F$14:$F$69,RAB!$C$14:$C$69,C925)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SUMIFS(RAB!$F$14:$F$69,RAB!$C$14:$C$69,C926)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SUMIFS(RAB!$F$14:$F$69,RAB!$C$14:$C$69,C927)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SUMIFS(RAB!$F$14:$F$69,RAB!$C$14:$C$69,C928)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SUMIFS(RAB!$F$14:$F$69,RAB!$C$14:$C$69,C929)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SUMIFS(RAB!$F$14:$F$69,RAB!$C$14:$C$69,C930)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SUMIFS(RAB!$F$14:$F$69,RAB!$C$14:$C$69,C931)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SUMIFS(RAB!$F$14:$F$69,RAB!$C$14:$C$69,C932)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SUMIFS(RAB!$F$14:$F$69,RAB!$C$14:$C$69,C933)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SUMIFS(RAB!$F$14:$F$69,RAB!$C$14:$C$69,C934)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SUMIFS(RAB!$F$14:$F$69,RAB!$C$14:$C$69,C935)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SUMIFS(RAB!$F$14:$F$69,RAB!$C$14:$C$69,C936)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SUMIFS(RAB!$F$14:$F$69,RAB!$C$14:$C$69,C937)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SUMIFS(RAB!$F$14:$F$69,RAB!$C$14:$C$69,C938)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SUMIFS(RAB!$F$14:$F$69,RAB!$C$14:$C$69,C939)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SUMIFS(RAB!$F$14:$F$69,RAB!$C$14:$C$69,C940)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SUMIFS(RAB!$F$14:$F$69,RAB!$C$14:$C$69,C941)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SUMIFS(RAB!$F$14:$F$69,RAB!$C$14:$C$69,C942)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SUMIFS(RAB!$F$14:$F$69,RAB!$C$14:$C$69,C943)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SUMIFS(RAB!$F$14:$F$69,RAB!$C$14:$C$69,C944)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SUMIFS(RAB!$F$14:$F$69,RAB!$C$14:$C$69,C945)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SUMIFS(RAB!$F$14:$F$69,RAB!$C$14:$C$69,C946)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SUMIFS(RAB!$F$14:$F$69,RAB!$C$14:$C$69,C947)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SUMIFS(RAB!$F$14:$F$69,RAB!$C$14:$C$69,C948)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SUMIFS(RAB!$F$14:$F$69,RAB!$C$14:$C$69,C949)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SUMIFS(RAB!$F$14:$F$69,RAB!$C$14:$C$69,C950)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SUMIFS(RAB!$F$14:$F$69,RAB!$C$14:$C$69,C951)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SUMIFS(RAB!$F$14:$F$69,RAB!$C$14:$C$69,C952)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SUMIFS(RAB!$F$14:$F$69,RAB!$C$14:$C$69,C953)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SUMIFS(RAB!$F$14:$F$69,RAB!$C$14:$C$69,C954)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SUMIFS(RAB!$F$14:$F$69,RAB!$C$14:$C$69,C955)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SUMIFS(RAB!$F$14:$F$69,RAB!$C$14:$C$69,C956)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SUMIFS(RAB!$F$14:$F$69,RAB!$C$14:$C$69,C957)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SUMIFS(RAB!$F$14:$F$69,RAB!$C$14:$C$69,C958)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SUMIFS(RAB!$F$14:$F$69,RAB!$C$14:$C$69,C959)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SUMIFS(RAB!$F$14:$F$69,RAB!$C$14:$C$69,C960)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SUMIFS(RAB!$F$14:$F$69,RAB!$C$14:$C$69,C961)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SUMIFS(RAB!$F$14:$F$69,RAB!$C$14:$C$69,C962)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SUMIFS(RAB!$F$14:$F$69,RAB!$C$14:$C$69,C963)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SUMIFS(RAB!$F$14:$F$69,RAB!$C$14:$C$69,C964)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SUMIFS(RAB!$F$14:$F$69,RAB!$C$14:$C$69,C965)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SUMIFS(RAB!$F$14:$F$69,RAB!$C$14:$C$69,C966)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SUMIFS(RAB!$F$14:$F$69,RAB!$C$14:$C$69,C967)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SUMIFS(RAB!$F$14:$F$69,RAB!$C$14:$C$69,C968)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SUMIFS(RAB!$F$14:$F$69,RAB!$C$14:$C$69,C969)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SUMIFS(RAB!$F$14:$F$69,RAB!$C$14:$C$69,C970)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SUMIFS(RAB!$F$14:$F$69,RAB!$C$14:$C$69,C971)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SUMIFS(RAB!$F$14:$F$69,RAB!$C$14:$C$69,C972)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SUMIFS(RAB!$F$14:$F$69,RAB!$C$14:$C$69,C973)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SUMIFS(RAB!$F$14:$F$69,RAB!$C$14:$C$69,C974)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SUMIFS(RAB!$F$14:$F$69,RAB!$C$14:$C$69,C975)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SUMIFS(RAB!$F$14:$F$69,RAB!$C$14:$C$69,C976)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SUMIFS(RAB!$F$14:$F$69,RAB!$C$14:$C$69,C977)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SUMIFS(RAB!$F$14:$F$69,RAB!$C$14:$C$69,C978)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SUMIFS(RAB!$F$14:$F$69,RAB!$C$14:$C$69,C979)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SUMIFS(RAB!$F$14:$F$69,RAB!$C$14:$C$69,C980)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SUMIFS(RAB!$F$14:$F$69,RAB!$C$14:$C$69,C981)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SUMIFS(RAB!$F$14:$F$69,RAB!$C$14:$C$69,C982)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SUMIFS(RAB!$F$14:$F$69,RAB!$C$14:$C$69,C983)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SUMIFS(RAB!$F$14:$F$69,RAB!$C$14:$C$69,C984)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SUMIFS(RAB!$F$14:$F$69,RAB!$C$14:$C$69,C985)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SUMIFS(RAB!$F$14:$F$69,RAB!$C$14:$C$69,C986)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SUMIFS(RAB!$F$14:$F$69,RAB!$C$14:$C$69,C987)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SUMIFS(RAB!$F$14:$F$69,RAB!$C$14:$C$69,C988)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SUMIFS(RAB!$F$14:$F$69,RAB!$C$14:$C$69,C989)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SUMIFS(RAB!$F$14:$F$69,RAB!$C$14:$C$69,C990)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SUMIFS(RAB!$F$14:$F$69,RAB!$C$14:$C$69,C991)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SUMIFS(RAB!$F$14:$F$69,RAB!$C$14:$C$69,C992)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SUMIFS(RAB!$F$14:$F$69,RAB!$C$14:$C$69,C993)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SUMIFS(RAB!$F$14:$F$69,RAB!$C$14:$C$69,C994)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SUMIFS(RAB!$F$14:$F$69,RAB!$C$14:$C$69,C995)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SUMIFS(RAB!$F$14:$F$69,RAB!$C$14:$C$69,C996)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SUMIFS(RAB!$F$14:$F$69,RAB!$C$14:$C$69,C997)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SUMIFS(RAB!$F$14:$F$69,RAB!$C$14:$C$69,C998)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SUMIFS(RAB!$F$14:$F$69,RAB!$C$14:$C$69,C999)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SUMIFS(RAB!$F$14:$F$69,RAB!$C$14:$C$69,C1000)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SUMIFS(RAB!$F$14:$F$69,RAB!$C$14:$C$69,C1001)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SUMIFS(RAB!$F$14:$F$69,RAB!$C$14:$C$69,C1002)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SUMIFS(RAB!$F$14:$F$69,RAB!$C$14:$C$69,C1003)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SUMIFS(RAB!$F$14:$F$69,RAB!$C$14:$C$69,C1004)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SUMIFS(RAB!$F$14:$F$69,RAB!$C$14:$C$69,C1005)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SUMIFS(RAB!$F$14:$F$69,RAB!$C$14:$C$69,C1006)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SUMIFS(RAB!$F$14:$F$69,RAB!$C$14:$C$69,C1007)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SUMIFS(RAB!$F$14:$F$69,RAB!$C$14:$C$69,C1008)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SUMIFS(RAB!$F$14:$F$69,RAB!$C$14:$C$69,C1009)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SUMIFS(RAB!$F$14:$F$69,RAB!$C$14:$C$69,C1010)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SUMIFS(RAB!$F$14:$F$69,RAB!$C$14:$C$69,C1011)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SUMIFS(RAB!$F$14:$F$69,RAB!$C$14:$C$69,C1012)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SUMIFS(RAB!$F$14:$F$69,RAB!$C$14:$C$69,C1013)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SUMIFS(RAB!$F$14:$F$69,RAB!$C$14:$C$69,C1014)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SUMIFS(RAB!$F$14:$F$69,RAB!$C$14:$C$69,C1015)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SUMIFS(RAB!$F$14:$F$69,RAB!$C$14:$C$69,C1016)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SUMIFS(RAB!$F$14:$F$69,RAB!$C$14:$C$69,C1017)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SUMIFS(RAB!$F$14:$F$69,RAB!$C$14:$C$69,C1018)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SUMIFS(RAB!$F$14:$F$69,RAB!$C$14:$C$69,C1019)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SUMIFS(RAB!$F$14:$F$69,RAB!$C$14:$C$69,C1020)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SUMIFS(RAB!$F$14:$F$69,RAB!$C$14:$C$69,C1021)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SUMIFS(RAB!$F$14:$F$69,RAB!$C$14:$C$69,C1022)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SUMIFS(RAB!$F$14:$F$69,RAB!$C$14:$C$69,C1023)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SUMIFS(RAB!$F$14:$F$69,RAB!$C$14:$C$69,C1024)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SUMIFS(RAB!$F$14:$F$69,RAB!$C$14:$C$69,C1025)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SUMIFS(RAB!$F$14:$F$69,RAB!$C$14:$C$69,C1026)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SUMIFS(RAB!$F$14:$F$69,RAB!$C$14:$C$69,C1027)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SUMIFS(RAB!$F$14:$F$69,RAB!$C$14:$C$69,C1028)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SUMIFS(RAB!$F$14:$F$69,RAB!$C$14:$C$69,C1029)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SUMIFS(RAB!$F$14:$F$69,RAB!$C$14:$C$69,C1030)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SUMIFS(RAB!$F$14:$F$69,RAB!$C$14:$C$69,C1031)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SUMIFS(RAB!$F$14:$F$69,RAB!$C$14:$C$69,C1032)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SUMIFS(RAB!$F$14:$F$69,RAB!$C$14:$C$69,C1033)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SUMIFS(RAB!$F$14:$F$69,RAB!$C$14:$C$69,C1034)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SUMIFS(RAB!$F$14:$F$69,RAB!$C$14:$C$69,C1035)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SUMIFS(RAB!$F$14:$F$69,RAB!$C$14:$C$69,C1036)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SUMIFS(RAB!$F$14:$F$69,RAB!$C$14:$C$69,C1037)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SUMIFS(RAB!$F$14:$F$69,RAB!$C$14:$C$69,C1038)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SUMIFS(RAB!$F$14:$F$69,RAB!$C$14:$C$69,C1039)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SUMIFS(RAB!$F$14:$F$69,RAB!$C$14:$C$69,C1040)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SUMIFS(RAB!$F$14:$F$69,RAB!$C$14:$C$69,C1041)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SUMIFS(RAB!$F$14:$F$69,RAB!$C$14:$C$69,C1042)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SUMIFS(RAB!$F$14:$F$69,RAB!$C$14:$C$69,C1043)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SUMIFS(RAB!$F$14:$F$69,RAB!$C$14:$C$69,C1044)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SUMIFS(RAB!$F$14:$F$69,RAB!$C$14:$C$69,C1045)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SUMIFS(RAB!$F$14:$F$69,RAB!$C$14:$C$69,C1046)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SUMIFS(RAB!$F$14:$F$69,RAB!$C$14:$C$69,C1047)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SUMIFS(RAB!$F$14:$F$69,RAB!$C$14:$C$69,C1048)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SUMIFS(RAB!$F$14:$F$69,RAB!$C$14:$C$69,C1049)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SUMIFS(RAB!$F$14:$F$69,RAB!$C$14:$C$69,C1050)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SUMIFS(RAB!$F$14:$F$69,RAB!$C$14:$C$69,C1051)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SUMIFS(RAB!$F$14:$F$69,RAB!$C$14:$C$69,C1052)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SUMIFS(RAB!$F$14:$F$69,RAB!$C$14:$C$69,C1053)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SUMIFS(RAB!$F$14:$F$69,RAB!$C$14:$C$69,C1054)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SUMIFS(RAB!$F$14:$F$69,RAB!$C$14:$C$69,C1055)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SUMIFS(RAB!$F$14:$F$69,RAB!$C$14:$C$69,C1056)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SUMIFS(RAB!$F$14:$F$69,RAB!$C$14:$C$69,C1057)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SUMIFS(RAB!$F$14:$F$69,RAB!$C$14:$C$69,C1058)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SUMIFS(RAB!$F$14:$F$69,RAB!$C$14:$C$69,C1059)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SUMIFS(RAB!$F$14:$F$69,RAB!$C$14:$C$69,C1060)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SUMIFS(RAB!$F$14:$F$69,RAB!$C$14:$C$69,C1061)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SUMIFS(RAB!$F$14:$F$69,RAB!$C$14:$C$69,C1062)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SUMIFS(RAB!$F$14:$F$69,RAB!$C$14:$C$69,C1063)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SUMIFS(RAB!$F$14:$F$69,RAB!$C$14:$C$69,C1064)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SUMIFS(RAB!$F$14:$F$69,RAB!$C$14:$C$69,C1065)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SUMIFS(RAB!$F$14:$F$69,RAB!$C$14:$C$69,C1066)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SUMIFS(RAB!$F$14:$F$69,RAB!$C$14:$C$69,C1067)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SUMIFS(RAB!$F$14:$F$69,RAB!$C$14:$C$69,C1068)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SUMIFS(RAB!$F$14:$F$69,RAB!$C$14:$C$69,C1069)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SUMIFS(RAB!$F$14:$F$69,RAB!$C$14:$C$69,C1070)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SUMIFS(RAB!$F$14:$F$69,RAB!$C$14:$C$69,C1071)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SUMIFS(RAB!$F$14:$F$69,RAB!$C$14:$C$69,C1072)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SUMIFS(RAB!$F$14:$F$69,RAB!$C$14:$C$69,C1073)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SUMIFS(RAB!$F$14:$F$69,RAB!$C$14:$C$69,C1074)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SUMIFS(RAB!$F$14:$F$69,RAB!$C$14:$C$69,C1075)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SUMIFS(RAB!$F$14:$F$69,RAB!$C$14:$C$69,C1076)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SUMIFS(RAB!$F$14:$F$69,RAB!$C$14:$C$69,C1077)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SUMIFS(RAB!$F$14:$F$69,RAB!$C$14:$C$69,C1078)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SUMIFS(RAB!$F$14:$F$69,RAB!$C$14:$C$69,C1079)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SUMIFS(RAB!$F$14:$F$69,RAB!$C$14:$C$69,C1080)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SUMIFS(RAB!$F$14:$F$69,RAB!$C$14:$C$69,C1081)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SUMIFS(RAB!$F$14:$F$69,RAB!$C$14:$C$69,C1082)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SUMIFS(RAB!$F$14:$F$69,RAB!$C$14:$C$69,C1083)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SUMIFS(RAB!$F$14:$F$69,RAB!$C$14:$C$69,C1084)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SUMIFS(RAB!$F$14:$F$69,RAB!$C$14:$C$69,C1085)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SUMIFS(RAB!$F$14:$F$69,RAB!$C$14:$C$69,C1086)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SUMIFS(RAB!$F$14:$F$69,RAB!$C$14:$C$69,C1087)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SUMIFS(RAB!$F$14:$F$69,RAB!$C$14:$C$69,C1088)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SUMIFS(RAB!$F$14:$F$69,RAB!$C$14:$C$69,C1089)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SUMIFS(RAB!$F$14:$F$69,RAB!$C$14:$C$69,C1090)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SUMIFS(RAB!$F$14:$F$69,RAB!$C$14:$C$69,C1091)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SUMIFS(RAB!$F$14:$F$69,RAB!$C$14:$C$69,C1092)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SUMIFS(RAB!$F$14:$F$69,RAB!$C$14:$C$69,C1093)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SUMIFS(RAB!$F$14:$F$69,RAB!$C$14:$C$69,C1094)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SUMIFS(RAB!$F$14:$F$69,RAB!$C$14:$C$69,C1095)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SUMIFS(RAB!$F$14:$F$69,RAB!$C$14:$C$69,C1096)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SUMIFS(RAB!$F$14:$F$69,RAB!$C$14:$C$69,C1097)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SUMIFS(RAB!$F$14:$F$69,RAB!$C$14:$C$69,C1098)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SUMIFS(RAB!$F$14:$F$69,RAB!$C$14:$C$69,C1099)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SUMIFS(RAB!$F$14:$F$69,RAB!$C$14:$C$69,C1100)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SUMIFS(RAB!$F$14:$F$69,RAB!$C$14:$C$69,C1101)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SUMIFS(RAB!$F$14:$F$69,RAB!$C$14:$C$69,C1102)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SUMIFS(RAB!$F$14:$F$69,RAB!$C$14:$C$69,C1103)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SUMIFS(RAB!$F$14:$F$69,RAB!$C$14:$C$69,C1104)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SUMIFS(RAB!$F$14:$F$69,RAB!$C$14:$C$69,C1105)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SUMIFS(RAB!$F$14:$F$69,RAB!$C$14:$C$69,C1106)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SUMIFS(RAB!$F$14:$F$69,RAB!$C$14:$C$69,C1107)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SUMIFS(RAB!$F$14:$F$69,RAB!$C$14:$C$69,C1108)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SUMIFS(RAB!$F$14:$F$69,RAB!$C$14:$C$69,C1109)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SUMIFS(RAB!$F$14:$F$69,RAB!$C$14:$C$69,C1110)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SUMIFS(RAB!$F$14:$F$69,RAB!$C$14:$C$69,C1111)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SUMIFS(RAB!$F$14:$F$69,RAB!$C$14:$C$69,C1112)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SUMIFS(RAB!$F$14:$F$69,RAB!$C$14:$C$69,C1113)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SUMIFS(RAB!$F$14:$F$69,RAB!$C$14:$C$69,C1114)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SUMIFS(RAB!$F$14:$F$69,RAB!$C$14:$C$69,C1115)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SUMIFS(RAB!$F$14:$F$69,RAB!$C$14:$C$69,C1116)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SUMIFS(RAB!$F$14:$F$69,RAB!$C$14:$C$69,C1117)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SUMIFS(RAB!$F$14:$F$69,RAB!$C$14:$C$69,C1118)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SUMIFS(RAB!$F$14:$F$69,RAB!$C$14:$C$69,C1119)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SUMIFS(RAB!$F$14:$F$69,RAB!$C$14:$C$69,C1120)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SUMIFS(RAB!$F$14:$F$69,RAB!$C$14:$C$69,C1121)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SUMIFS(RAB!$F$14:$F$69,RAB!$C$14:$C$69,C1122)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SUMIFS(RAB!$F$14:$F$69,RAB!$C$14:$C$69,C1123)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SUMIFS(RAB!$F$14:$F$69,RAB!$C$14:$C$69,C1124)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SUMIFS(RAB!$F$14:$F$69,RAB!$C$14:$C$69,C1125)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SUMIFS(RAB!$F$14:$F$69,RAB!$C$14:$C$69,C1126)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SUMIFS(RAB!$F$14:$F$69,RAB!$C$14:$C$69,C1127)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SUMIFS(RAB!$F$14:$F$69,RAB!$C$14:$C$69,C1128)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SUMIFS(RAB!$F$14:$F$69,RAB!$C$14:$C$69,C1129)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SUMIFS(RAB!$F$14:$F$69,RAB!$C$14:$C$69,C1130)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SUMIFS(RAB!$F$14:$F$69,RAB!$C$14:$C$69,C1131)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SUMIFS(RAB!$F$14:$F$69,RAB!$C$14:$C$69,C1132)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SUMIFS(RAB!$F$14:$F$69,RAB!$C$14:$C$69,C1133)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SUMIFS(RAB!$F$14:$F$69,RAB!$C$14:$C$69,C1134)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SUMIFS(RAB!$F$14:$F$69,RAB!$C$14:$C$69,C1135)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SUMIFS(RAB!$F$14:$F$69,RAB!$C$14:$C$69,C1136)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SUMIFS(RAB!$F$14:$F$69,RAB!$C$14:$C$69,C1137)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SUMIFS(RAB!$F$14:$F$69,RAB!$C$14:$C$69,C1138)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SUMIFS(RAB!$F$14:$F$69,RAB!$C$14:$C$69,C1139)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SUMIFS(RAB!$F$14:$F$69,RAB!$C$14:$C$69,C1140)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SUMIFS(RAB!$F$14:$F$69,RAB!$C$14:$C$69,C1141)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SUMIFS(RAB!$F$14:$F$69,RAB!$C$14:$C$69,C1142)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SUMIFS(RAB!$F$14:$F$69,RAB!$C$14:$C$69,C1143)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SUMIFS(RAB!$F$14:$F$69,RAB!$C$14:$C$69,C1144)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SUMIFS(RAB!$F$14:$F$69,RAB!$C$14:$C$69,C1145)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SUMIFS(RAB!$F$14:$F$69,RAB!$C$14:$C$69,C1146)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SUMIFS(RAB!$F$14:$F$69,RAB!$C$14:$C$69,C1147)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SUMIFS(RAB!$F$14:$F$69,RAB!$C$14:$C$69,C1148)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SUMIFS(RAB!$F$14:$F$69,RAB!$C$14:$C$69,C1149)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SUMIFS(RAB!$F$14:$F$69,RAB!$C$14:$C$69,C1150)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SUMIFS(RAB!$F$14:$F$69,RAB!$C$14:$C$69,C1151)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SUMIFS(RAB!$F$14:$F$69,RAB!$C$14:$C$69,C1152)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SUMIFS(RAB!$F$14:$F$69,RAB!$C$14:$C$69,C1153)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SUMIFS(RAB!$F$14:$F$69,RAB!$C$14:$C$69,C1154)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SUMIFS(RAB!$F$14:$F$69,RAB!$C$14:$C$69,C1155)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SUMIFS(RAB!$F$14:$F$69,RAB!$C$14:$C$69,C1156)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SUMIFS(RAB!$F$14:$F$69,RAB!$C$14:$C$69,C1157)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SUMIFS(RAB!$F$14:$F$69,RAB!$C$14:$C$69,C1158)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SUMIFS(RAB!$F$14:$F$69,RAB!$C$14:$C$69,C1159)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SUMIFS(RAB!$F$14:$F$69,RAB!$C$14:$C$69,C1160)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SUMIFS(RAB!$F$14:$F$69,RAB!$C$14:$C$69,C1161)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SUMIFS(RAB!$F$14:$F$69,RAB!$C$14:$C$69,C1162)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SUMIFS(RAB!$F$14:$F$69,RAB!$C$14:$C$69,C1163)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SUMIFS(RAB!$F$14:$F$69,RAB!$C$14:$C$69,C1164)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SUMIFS(RAB!$F$14:$F$69,RAB!$C$14:$C$69,C1165)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SUMIFS(RAB!$F$14:$F$69,RAB!$C$14:$C$69,C1166)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SUMIFS(RAB!$F$14:$F$69,RAB!$C$14:$C$69,C1167)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SUMIFS(RAB!$F$14:$F$69,RAB!$C$14:$C$69,C1168)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SUMIFS(RAB!$F$14:$F$69,RAB!$C$14:$C$69,C1169)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SUMIFS(RAB!$F$14:$F$69,RAB!$C$14:$C$69,C1170)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SUMIFS(RAB!$F$14:$F$69,RAB!$C$14:$C$69,C1171)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SUMIFS(RAB!$F$14:$F$69,RAB!$C$14:$C$69,C1172)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SUMIFS(RAB!$F$14:$F$69,RAB!$C$14:$C$69,C1173)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SUMIFS(RAB!$F$14:$F$69,RAB!$C$14:$C$69,C1174)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SUMIFS(RAB!$F$14:$F$69,RAB!$C$14:$C$69,C1175)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SUMIFS(RAB!$F$14:$F$69,RAB!$C$14:$C$69,C1176)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SUMIFS(RAB!$F$14:$F$69,RAB!$C$14:$C$69,C1177)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SUMIFS(RAB!$F$14:$F$69,RAB!$C$14:$C$69,C1178)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SUMIFS(RAB!$F$14:$F$69,RAB!$C$14:$C$69,C1179)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SUMIFS(RAB!$F$14:$F$69,RAB!$C$14:$C$69,C1180)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SUMIFS(RAB!$F$14:$F$69,RAB!$C$14:$C$69,C1181)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SUMIFS(RAB!$F$14:$F$69,RAB!$C$14:$C$69,C1182)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SUMIFS(RAB!$F$14:$F$69,RAB!$C$14:$C$69,C1183)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SUMIFS(RAB!$F$14:$F$69,RAB!$C$14:$C$69,C1184)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SUMIFS(RAB!$F$14:$F$69,RAB!$C$14:$C$69,C1185)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SUMIFS(RAB!$F$14:$F$69,RAB!$C$14:$C$69,C1186)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SUMIFS(RAB!$F$14:$F$69,RAB!$C$14:$C$69,C1187)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SUMIFS(RAB!$F$14:$F$69,RAB!$C$14:$C$69,C1188)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SUMIFS(RAB!$F$14:$F$69,RAB!$C$14:$C$69,C1189)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SUMIFS(RAB!$F$14:$F$69,RAB!$C$14:$C$69,C1190)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SUMIFS(RAB!$F$14:$F$69,RAB!$C$14:$C$69,C1191)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SUMIFS(RAB!$F$14:$F$69,RAB!$C$14:$C$69,C1192)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SUMIFS(RAB!$F$14:$F$69,RAB!$C$14:$C$69,C1193)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SUMIFS(RAB!$F$14:$F$69,RAB!$C$14:$C$69,C1194)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SUMIFS(RAB!$F$14:$F$69,RAB!$C$14:$C$69,C1195)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SUMIFS(RAB!$F$14:$F$69,RAB!$C$14:$C$69,C1196)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SUMIFS(RAB!$F$14:$F$69,RAB!$C$14:$C$69,C1197)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SUMIFS(RAB!$F$14:$F$69,RAB!$C$14:$C$69,C1198)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SUMIFS(RAB!$F$14:$F$69,RAB!$C$14:$C$69,C1199)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SUMIFS(RAB!$F$14:$F$69,RAB!$C$14:$C$69,C1200)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SUMIFS(RAB!$F$14:$F$69,RAB!$C$14:$C$69,C1201)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SUMIFS(RAB!$F$14:$F$69,RAB!$C$14:$C$69,C1202)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SUMIFS(RAB!$F$14:$F$69,RAB!$C$14:$C$69,C1203)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SUMIFS(RAB!$F$14:$F$69,RAB!$C$14:$C$69,C1204)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SUMIFS(RAB!$F$14:$F$69,RAB!$C$14:$C$69,C1205)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SUMIFS(RAB!$F$14:$F$69,RAB!$C$14:$C$69,C1206)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SUMIFS(RAB!$F$14:$F$69,RAB!$C$14:$C$69,C1207)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SUMIFS(RAB!$F$14:$F$69,RAB!$C$14:$C$69,C1208)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SUMIFS(RAB!$F$14:$F$69,RAB!$C$14:$C$69,C1209)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SUMIFS(RAB!$F$14:$F$69,RAB!$C$14:$C$69,C1210)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SUMIFS(RAB!$F$14:$F$69,RAB!$C$14:$C$69,C1211)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SUMIFS(RAB!$F$14:$F$69,RAB!$C$14:$C$69,C1212)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SUMIFS(RAB!$F$14:$F$69,RAB!$C$14:$C$69,C1213)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SUMIFS(RAB!$F$14:$F$69,RAB!$C$14:$C$69,C1214)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SUMIFS(RAB!$F$14:$F$69,RAB!$C$14:$C$69,C1215)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SUMIFS(RAB!$F$14:$F$69,RAB!$C$14:$C$69,C1216)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SUMIFS(RAB!$F$14:$F$69,RAB!$C$14:$C$69,C1217)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SUMIFS(RAB!$F$14:$F$69,RAB!$C$14:$C$69,C1218)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SUMIFS(RAB!$F$14:$F$69,RAB!$C$14:$C$69,C1219)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SUMIFS(RAB!$F$14:$F$69,RAB!$C$14:$C$69,C1220)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SUMIFS(RAB!$F$14:$F$69,RAB!$C$14:$C$69,C1221)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SUMIFS(RAB!$F$14:$F$69,RAB!$C$14:$C$69,C1222)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SUMIFS(RAB!$F$14:$F$69,RAB!$C$14:$C$69,C1223)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SUMIFS(RAB!$F$14:$F$69,RAB!$C$14:$C$69,C1224)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SUMIFS(RAB!$F$14:$F$69,RAB!$C$14:$C$69,C1225)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SUMIFS(RAB!$F$14:$F$69,RAB!$C$14:$C$69,C1226)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SUMIFS(RAB!$F$14:$F$69,RAB!$C$14:$C$69,C1227)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SUMIFS(RAB!$F$14:$F$69,RAB!$C$14:$C$69,C1228)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SUMIFS(RAB!$F$14:$F$69,RAB!$C$14:$C$69,C1229)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SUMIFS(RAB!$F$14:$F$69,RAB!$C$14:$C$69,C1230)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SUMIFS(RAB!$F$14:$F$69,RAB!$C$14:$C$69,C1231)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SUMIFS(RAB!$F$14:$F$69,RAB!$C$14:$C$69,C1232)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SUMIFS(RAB!$F$14:$F$69,RAB!$C$14:$C$69,C1233)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SUMIFS(RAB!$F$14:$F$69,RAB!$C$14:$C$69,C1234)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SUMIFS(RAB!$F$14:$F$69,RAB!$C$14:$C$69,C1235)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SUMIFS(RAB!$F$14:$F$69,RAB!$C$14:$C$69,C1236)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SUMIFS(RAB!$F$14:$F$69,RAB!$C$14:$C$69,C1237)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SUMIFS(RAB!$F$14:$F$69,RAB!$C$14:$C$69,C1238)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SUMIFS(RAB!$F$14:$F$69,RAB!$C$14:$C$69,C1239)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SUMIFS(RAB!$F$14:$F$69,RAB!$C$14:$C$69,C1240)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SUMIFS(RAB!$F$14:$F$69,RAB!$C$14:$C$69,C1241)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SUMIFS(RAB!$F$14:$F$69,RAB!$C$14:$C$69,C1242)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SUMIFS(RAB!$F$14:$F$69,RAB!$C$14:$C$69,C1243)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SUMIFS(RAB!$F$14:$F$69,RAB!$C$14:$C$69,C1244)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SUMIFS(RAB!$F$14:$F$69,RAB!$C$14:$C$69,C1245)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SUMIFS(RAB!$F$14:$F$69,RAB!$C$14:$C$69,C1246)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SUMIFS(RAB!$F$14:$F$69,RAB!$C$14:$C$69,C1247)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SUMIFS(RAB!$F$14:$F$69,RAB!$C$14:$C$69,C1248)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SUMIFS(RAB!$F$14:$F$69,RAB!$C$14:$C$69,C1249)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SUMIFS(RAB!$F$14:$F$69,RAB!$C$14:$C$69,C1250)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SUMIFS(RAB!$F$14:$F$69,RAB!$C$14:$C$69,C1251)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SUMIFS(RAB!$F$14:$F$69,RAB!$C$14:$C$69,C1252)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SUMIFS(RAB!$F$14:$F$69,RAB!$C$14:$C$69,C1253)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SUMIFS(RAB!$F$14:$F$69,RAB!$C$14:$C$69,C1254)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SUMIFS(RAB!$F$14:$F$69,RAB!$C$14:$C$69,C1255)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SUMIFS(RAB!$F$14:$F$69,RAB!$C$14:$C$69,C1256)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SUMIFS(RAB!$F$14:$F$69,RAB!$C$14:$C$69,C1257)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SUMIFS(RAB!$F$14:$F$69,RAB!$C$14:$C$69,C1258)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SUMIFS(RAB!$F$14:$F$69,RAB!$C$14:$C$69,C1259)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SUMIFS(RAB!$F$14:$F$69,RAB!$C$14:$C$69,C1260)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SUMIFS(RAB!$F$14:$F$69,RAB!$C$14:$C$69,C1261)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SUMIFS(RAB!$F$14:$F$69,RAB!$C$14:$C$69,C1262)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SUMIFS(RAB!$F$14:$F$69,RAB!$C$14:$C$69,C1263)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SUMIFS(RAB!$F$14:$F$69,RAB!$C$14:$C$69,C1264)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SUMIFS(RAB!$F$14:$F$69,RAB!$C$14:$C$69,C1265)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SUMIFS(RAB!$F$14:$F$69,RAB!$C$14:$C$69,C1266)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SUMIFS(RAB!$F$14:$F$69,RAB!$C$14:$C$69,C1267)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SUMIFS(RAB!$F$14:$F$69,RAB!$C$14:$C$69,C1268)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SUMIFS(RAB!$F$14:$F$69,RAB!$C$14:$C$69,C1269)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SUMIFS(RAB!$F$14:$F$69,RAB!$C$14:$C$69,C1270)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SUMIFS(RAB!$F$14:$F$69,RAB!$C$14:$C$69,C1271)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SUMIFS(RAB!$F$14:$F$69,RAB!$C$14:$C$69,C1272)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SUMIFS(RAB!$F$14:$F$69,RAB!$C$14:$C$69,C1273)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SUMIFS(RAB!$F$14:$F$69,RAB!$C$14:$C$69,C1274)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SUMIFS(RAB!$F$14:$F$69,RAB!$C$14:$C$69,C1275)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SUMIFS(RAB!$F$14:$F$69,RAB!$C$14:$C$69,C1276)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SUMIFS(RAB!$F$14:$F$69,RAB!$C$14:$C$69,C1277)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SUMIFS(RAB!$F$14:$F$69,RAB!$C$14:$C$69,C1278)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SUMIFS(RAB!$F$14:$F$69,RAB!$C$14:$C$69,C1279)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SUMIFS(RAB!$F$14:$F$69,RAB!$C$14:$C$69,C1280)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SUMIFS(RAB!$F$14:$F$69,RAB!$C$14:$C$69,C1281)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SUMIFS(RAB!$F$14:$F$69,RAB!$C$14:$C$69,C1282)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SUMIFS(RAB!$F$14:$F$69,RAB!$C$14:$C$69,C1283)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SUMIFS(RAB!$F$14:$F$69,RAB!$C$14:$C$69,C1284)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SUMIFS(RAB!$F$14:$F$69,RAB!$C$14:$C$69,C1285)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SUMIFS(RAB!$F$14:$F$69,RAB!$C$14:$C$69,C1286)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SUMIFS(RAB!$F$14:$F$69,RAB!$C$14:$C$69,C1287)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SUMIFS(RAB!$F$14:$F$69,RAB!$C$14:$C$69,C1288)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SUMIFS(RAB!$F$14:$F$69,RAB!$C$14:$C$69,C1289)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SUMIFS(RAB!$F$14:$F$69,RAB!$C$14:$C$69,C1290)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SUMIFS(RAB!$F$14:$F$69,RAB!$C$14:$C$69,C1291)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SUMIFS(RAB!$F$14:$F$69,RAB!$C$14:$C$69,C1292)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SUMIFS(RAB!$F$14:$F$69,RAB!$C$14:$C$69,C1293)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SUMIFS(RAB!$F$14:$F$69,RAB!$C$14:$C$69,C1294)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SUMIFS(RAB!$F$14:$F$69,RAB!$C$14:$C$69,C1295)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SUMIFS(RAB!$F$14:$F$69,RAB!$C$14:$C$69,C1296)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SUMIFS(RAB!$F$14:$F$69,RAB!$C$14:$C$69,C1297)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SUMIFS(RAB!$F$14:$F$69,RAB!$C$14:$C$69,C1298)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SUMIFS(RAB!$F$14:$F$69,RAB!$C$14:$C$69,C1299)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SUMIFS(RAB!$F$14:$F$69,RAB!$C$14:$C$69,C1300)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SUMIFS(RAB!$F$14:$F$69,RAB!$C$14:$C$69,C1301)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SUMIFS(RAB!$F$14:$F$69,RAB!$C$14:$C$69,C1302)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SUMIFS(RAB!$F$14:$F$69,RAB!$C$14:$C$69,C1303)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SUMIFS(RAB!$F$14:$F$69,RAB!$C$14:$C$69,C1304)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SUMIFS(RAB!$F$14:$F$69,RAB!$C$14:$C$69,C1305)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SUMIFS(RAB!$F$14:$F$69,RAB!$C$14:$C$69,C1306)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SUMIFS(RAB!$F$14:$F$69,RAB!$C$14:$C$69,C1307)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SUMIFS(RAB!$F$14:$F$69,RAB!$C$14:$C$69,C1308)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SUMIFS(RAB!$F$14:$F$69,RAB!$C$14:$C$69,C1309)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SUMIFS(RAB!$F$14:$F$69,RAB!$C$14:$C$69,C1310)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SUMIFS(RAB!$F$14:$F$69,RAB!$C$14:$C$69,C1311)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SUMIFS(RAB!$F$14:$F$69,RAB!$C$14:$C$69,C1312)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SUMIFS(RAB!$F$14:$F$69,RAB!$C$14:$C$69,C1313)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SUMIFS(RAB!$F$14:$F$69,RAB!$C$14:$C$69,C1314)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SUMIFS(RAB!$F$14:$F$69,RAB!$C$14:$C$69,C1315)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SUMIFS(RAB!$F$14:$F$69,RAB!$C$14:$C$69,C1316)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SUMIFS(RAB!$F$14:$F$69,RAB!$C$14:$C$69,C1317)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SUMIFS(RAB!$F$14:$F$69,RAB!$C$14:$C$69,C1318)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SUMIFS(RAB!$F$14:$F$69,RAB!$C$14:$C$69,C1319)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SUMIFS(RAB!$F$14:$F$69,RAB!$C$14:$C$69,C1320)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8" priority="5" operator="equal">
      <formula>0</formula>
    </cfRule>
  </conditionalFormatting>
  <conditionalFormatting sqref="A10:L65536">
    <cfRule type="cellIs" dxfId="57" priority="1" operator="equal">
      <formula>0</formula>
    </cfRule>
  </conditionalFormatting>
  <conditionalFormatting sqref="C12:C711">
    <cfRule type="cellIs" dxfId="56" priority="66" stopIfTrue="1" operator="equal">
      <formula>0</formula>
    </cfRule>
  </conditionalFormatting>
  <conditionalFormatting sqref="E712:E65536">
    <cfRule type="cellIs" dxfId="55" priority="16" stopIfTrue="1" operator="equal">
      <formula>0</formula>
    </cfRule>
  </conditionalFormatting>
  <conditionalFormatting sqref="G1:G11 E6:E11 E1:E3 H7 H10:H11 F10:F711 G712:G65536">
    <cfRule type="cellIs" dxfId="54" priority="69" stopIfTrue="1" operator="equal">
      <formula>0</formula>
    </cfRule>
  </conditionalFormatting>
  <conditionalFormatting sqref="G12:H711">
    <cfRule type="cellIs" dxfId="53" priority="12" stopIfTrue="1" operator="equal">
      <formula>0</formula>
    </cfRule>
  </conditionalFormatting>
  <conditionalFormatting sqref="I7:K7">
    <cfRule type="cellIs" dxfId="52" priority="4" stopIfTrue="1" operator="equal">
      <formula>0</formula>
    </cfRule>
  </conditionalFormatting>
  <conditionalFormatting sqref="I10:L711">
    <cfRule type="cellIs" dxfId="51" priority="2" stopIfTrue="1" operator="equal">
      <formula>0</formula>
    </cfRule>
  </conditionalFormatting>
  <conditionalFormatting sqref="L1:L6">
    <cfRule type="cellIs" dxfId="50" priority="10" operator="equal">
      <formula>0</formula>
    </cfRule>
  </conditionalFormatting>
  <conditionalFormatting sqref="M1:IV1048576 A8:G9">
    <cfRule type="cellIs" dxfId="4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86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1127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KSPPS PONTREN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SEMBUNGHARJO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2" t="s">
        <v>1008</v>
      </c>
      <c r="D38" s="542"/>
      <c r="E38" s="542"/>
      <c r="F38" s="54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3" t="s">
        <v>462</v>
      </c>
      <c r="D39" s="543"/>
      <c r="E39" s="543"/>
      <c r="F39" s="54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2" t="s">
        <v>463</v>
      </c>
      <c r="D40" s="532"/>
      <c r="E40" s="532"/>
      <c r="F40" s="53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5" t="e">
        <f ca="1">"Terbilang : ( "&amp;L42&amp;" Rupiah )"</f>
        <v>#NAME?</v>
      </c>
      <c r="C41" s="536"/>
      <c r="D41" s="536"/>
      <c r="E41" s="536"/>
      <c r="F41" s="536"/>
      <c r="G41" s="536"/>
      <c r="H41" s="536"/>
      <c r="I41" s="536"/>
      <c r="J41" s="536"/>
      <c r="K41" s="537"/>
      <c r="L41" s="44"/>
      <c r="R41" s="58"/>
      <c r="S41" s="58"/>
      <c r="T41" s="58"/>
    </row>
    <row r="42" spans="1:20" s="36" customFormat="1">
      <c r="A42" s="30"/>
      <c r="B42" s="538"/>
      <c r="C42" s="539"/>
      <c r="D42" s="539"/>
      <c r="E42" s="539"/>
      <c r="F42" s="539"/>
      <c r="G42" s="539"/>
      <c r="H42" s="539"/>
      <c r="I42" s="539"/>
      <c r="J42" s="539"/>
      <c r="K42" s="540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3"/>
      <c r="I45" s="533"/>
      <c r="J45" s="534"/>
      <c r="K45" s="53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3"/>
      <c r="I46" s="533"/>
      <c r="J46" s="534"/>
      <c r="K46" s="53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3"/>
      <c r="I47" s="533"/>
      <c r="J47" s="534"/>
      <c r="K47" s="53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3"/>
      <c r="I52" s="533"/>
      <c r="J52" s="534"/>
      <c r="K52" s="53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SUMIFS(RAB!$F$14:$F$69,RAB!$C$14:$C$69,'REKAP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SUMIFS(RAB!$F$14:$F$69,RAB!$C$14:$C$69,'REKAP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SUMIFS(RAB!$F$14:$F$69,RAB!$C$14:$C$69,'REKAP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SUMIFS(RAB!$F$14:$F$69,RAB!$C$14:$C$69,'REKAP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SUMIFS(RAB!$F$14:$F$69,RAB!$C$14:$C$69,'REKAP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SUMIFS(RAB!$F$14:$F$69,RAB!$C$14:$C$69,'REKAP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SUMIFS(RAB!$F$14:$F$69,RAB!$C$14:$C$69,'REKAP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SUMIFS(RAB!$F$14:$F$69,RAB!$C$14:$C$69,'REKAP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SUMIFS(RAB!$F$14:$F$69,RAB!$C$14:$C$69,'REKAP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SUMIFS(RAB!$F$14:$F$69,RAB!$C$14:$C$69,'REKAP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SUMIFS(RAB!$F$14:$F$69,RAB!$C$14:$C$69,'REKAP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SUMIFS(RAB!$F$14:$F$69,RAB!$C$14:$C$69,'REKAP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SUMIFS(RAB!$F$14:$F$69,RAB!$C$14:$C$69,'REKAP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SUMIFS(RAB!$F$14:$F$69,RAB!$C$14:$C$69,'REKAP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SUMIFS(RAB!$F$14:$F$69,RAB!$C$14:$C$69,'REKAP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SUMIFS(RAB!$F$14:$F$69,RAB!$C$14:$C$69,'REKAP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SUMIFS(RAB!$F$14:$F$69,RAB!$C$14:$C$69,'REKAP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SUMIFS(RAB!$F$14:$F$69,RAB!$C$14:$C$69,'REKAP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SUMIFS(RAB!$F$14:$F$69,RAB!$C$14:$C$69,'REKAP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SUMIFS(RAB!$F$14:$F$69,RAB!$C$14:$C$69,'REKAP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1034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KSPPS PONTREN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SEMBUNGHARJO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220</v>
      </c>
      <c r="G20" s="41">
        <f ca="1">IF(ISERROR(OFFSET('HARGA SATUAN'!$I$6,MATCH(C20,'HARGA SATUAN'!$C$7:$C$1492,0),0)),"",OFFSET('HARGA SATUAN'!$I$6,MATCH(C20,'HARGA SATUAN'!$C$7:$C$1492,0),0))</f>
        <v>53300</v>
      </c>
      <c r="H20" s="42">
        <f t="shared" ca="1" si="1"/>
        <v>11726000</v>
      </c>
      <c r="I20" s="42">
        <f t="shared" ca="1" si="2"/>
        <v>0</v>
      </c>
      <c r="J20" s="42">
        <f t="shared" ca="1" si="3"/>
        <v>0</v>
      </c>
      <c r="K20" s="43">
        <f t="shared" ca="1" si="0"/>
        <v>11726000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35</v>
      </c>
      <c r="G21" s="41">
        <f ca="1">IF(ISERROR(OFFSET('HARGA SATUAN'!$I$6,MATCH(C21,'HARGA SATUAN'!$C$7:$C$1492,0),0)),"",OFFSET('HARGA SATUAN'!$I$6,MATCH(C21,'HARGA SATUAN'!$C$7:$C$1492,0),0))</f>
        <v>6600</v>
      </c>
      <c r="H21" s="42">
        <f t="shared" ca="1" si="1"/>
        <v>231000</v>
      </c>
      <c r="I21" s="42">
        <f t="shared" ca="1" si="2"/>
        <v>0</v>
      </c>
      <c r="J21" s="42">
        <f t="shared" ca="1" si="3"/>
        <v>0</v>
      </c>
      <c r="K21" s="43">
        <f t="shared" ca="1" si="0"/>
        <v>231000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2" t="s">
        <v>1008</v>
      </c>
      <c r="D168" s="542"/>
      <c r="E168" s="542"/>
      <c r="F168" s="542"/>
      <c r="G168" s="77" t="s">
        <v>9</v>
      </c>
      <c r="H168" s="55">
        <f ca="1">SUM(H14:H167)</f>
        <v>40197400</v>
      </c>
      <c r="I168" s="55">
        <f ca="1">SUM(I14:I167)</f>
        <v>0</v>
      </c>
      <c r="J168" s="55">
        <f ca="1">SUM(J14:J167)</f>
        <v>0</v>
      </c>
      <c r="K168" s="55">
        <f ca="1">SUM(K14:K167)</f>
        <v>40197400</v>
      </c>
      <c r="L168" s="44"/>
      <c r="R168" s="99"/>
      <c r="S168" s="99"/>
      <c r="T168" s="99"/>
    </row>
    <row r="169" spans="1:20" s="36" customFormat="1">
      <c r="A169" s="30"/>
      <c r="B169" s="56"/>
      <c r="C169" s="543" t="s">
        <v>462</v>
      </c>
      <c r="D169" s="543"/>
      <c r="E169" s="543"/>
      <c r="F169" s="543"/>
      <c r="G169" s="59" t="s">
        <v>9</v>
      </c>
      <c r="H169" s="60">
        <f ca="1">H168*0.1</f>
        <v>4019740</v>
      </c>
      <c r="I169" s="60">
        <f ca="1">I168*0.1</f>
        <v>0</v>
      </c>
      <c r="J169" s="60">
        <f ca="1">J168*0.1</f>
        <v>0</v>
      </c>
      <c r="K169" s="60">
        <f ca="1">K168*0.1</f>
        <v>4019740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2" t="s">
        <v>463</v>
      </c>
      <c r="D170" s="532"/>
      <c r="E170" s="532"/>
      <c r="F170" s="532"/>
      <c r="G170" s="61" t="s">
        <v>9</v>
      </c>
      <c r="H170" s="78">
        <f ca="1">SUM(H168:H169)</f>
        <v>44217140</v>
      </c>
      <c r="I170" s="78">
        <f ca="1">SUM(I168:I169)</f>
        <v>0</v>
      </c>
      <c r="J170" s="61">
        <f ca="1">SUM(J168:J169)</f>
        <v>0</v>
      </c>
      <c r="K170" s="61">
        <f ca="1">SUM(K168:K169)</f>
        <v>44217140</v>
      </c>
      <c r="L170" s="44"/>
      <c r="R170" s="99"/>
      <c r="S170" s="99"/>
      <c r="T170" s="99"/>
    </row>
    <row r="171" spans="1:20" s="36" customFormat="1">
      <c r="A171" s="30"/>
      <c r="B171" s="535" t="e">
        <f ca="1">"Terbilang : ( "&amp;L172&amp;" Rupiah )"</f>
        <v>#NAME?</v>
      </c>
      <c r="C171" s="536"/>
      <c r="D171" s="536"/>
      <c r="E171" s="536"/>
      <c r="F171" s="536"/>
      <c r="G171" s="536"/>
      <c r="H171" s="536"/>
      <c r="I171" s="536"/>
      <c r="J171" s="536"/>
      <c r="K171" s="537"/>
      <c r="L171" s="44"/>
      <c r="R171" s="58"/>
      <c r="S171" s="58"/>
      <c r="T171" s="58"/>
    </row>
    <row r="172" spans="1:20" s="36" customFormat="1">
      <c r="A172" s="30"/>
      <c r="B172" s="538"/>
      <c r="C172" s="539"/>
      <c r="D172" s="539"/>
      <c r="E172" s="539"/>
      <c r="F172" s="539"/>
      <c r="G172" s="539"/>
      <c r="H172" s="539"/>
      <c r="I172" s="539"/>
      <c r="J172" s="539"/>
      <c r="K172" s="540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3"/>
      <c r="I175" s="533"/>
      <c r="J175" s="534"/>
      <c r="K175" s="53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3"/>
      <c r="I176" s="533"/>
      <c r="J176" s="534"/>
      <c r="K176" s="53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3"/>
      <c r="I177" s="533"/>
      <c r="J177" s="534"/>
      <c r="K177" s="53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3"/>
      <c r="I182" s="533"/>
      <c r="J182" s="534"/>
      <c r="K182" s="53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SUMIFS(RAB!$F$14:$F$69,RAB!$C$14:$C$69,C224)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SUMIFS(RAB!$F$14:$F$69,RAB!$C$14:$C$69,C225)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SUMIFS(RAB!$F$14:$F$69,RAB!$C$14:$C$69,C226)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SUMIFS(RAB!$F$14:$F$69,RAB!$C$14:$C$69,C227)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SUMIFS(RAB!$F$14:$F$69,RAB!$C$14:$C$69,C228)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SUMIFS(RAB!$F$14:$F$69,RAB!$C$14:$C$69,C229)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SUMIFS(RAB!$F$14:$F$69,RAB!$C$14:$C$69,C230)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SUMIFS(RAB!$F$14:$F$69,RAB!$C$14:$C$69,C231)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SUMIFS(RAB!$F$14:$F$69,RAB!$C$14:$C$69,C232)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SUMIFS(RAB!$F$14:$F$69,RAB!$C$14:$C$69,C233)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SUMIFS(RAB!$F$14:$F$69,RAB!$C$14:$C$69,C234)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SUMIFS(RAB!$F$14:$F$69,RAB!$C$14:$C$69,C235)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SUMIFS(RAB!$F$14:$F$69,RAB!$C$14:$C$69,C236)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SUMIFS(RAB!$F$14:$F$69,RAB!$C$14:$C$69,C237)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SUMIFS(RAB!$F$14:$F$69,RAB!$C$14:$C$69,C238)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SUMIFS(RAB!$F$14:$F$69,RAB!$C$14:$C$69,C239)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SUMIFS(RAB!$F$14:$F$69,RAB!$C$14:$C$69,C240)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SUMIFS(RAB!$F$14:$F$69,RAB!$C$14:$C$69,C241)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SUMIFS(RAB!$F$14:$F$69,RAB!$C$14:$C$69,C242)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SUMIFS(RAB!$F$14:$F$69,RAB!$C$14:$C$69,C243)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SUMIFS(RAB!$F$14:$F$69,RAB!$C$14:$C$69,C244)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SUMIFS(RAB!$F$14:$F$69,RAB!$C$14:$C$69,C245)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SUMIFS(RAB!$F$14:$F$69,RAB!$C$14:$C$69,C246)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SUMIFS(RAB!$F$14:$F$69,RAB!$C$14:$C$69,C247)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SUMIFS(RAB!$F$14:$F$69,RAB!$C$14:$C$69,C248)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SUMIFS(RAB!$F$14:$F$69,RAB!$C$14:$C$69,C249)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SUMIFS(RAB!$F$14:$F$69,RAB!$C$14:$C$69,C250)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SUMIFS(RAB!$F$14:$F$69,RAB!$C$14:$C$69,C251)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SUMIFS(RAB!$F$14:$F$69,RAB!$C$14:$C$69,C252)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SUMIFS(RAB!$F$14:$F$69,RAB!$C$14:$C$69,C253)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SUMIFS(RAB!$F$14:$F$69,RAB!$C$14:$C$69,C254)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SUMIFS(RAB!$F$14:$F$69,RAB!$C$14:$C$69,C255)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SUMIFS(RAB!$F$14:$F$69,RAB!$C$14:$C$69,C256)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SUMIFS(RAB!$F$14:$F$69,RAB!$C$14:$C$69,C257)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SUMIFS(RAB!$F$14:$F$69,RAB!$C$14:$C$69,C258)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SUMIFS(RAB!$F$14:$F$69,RAB!$C$14:$C$69,C259)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SUMIFS(RAB!$F$14:$F$69,RAB!$C$14:$C$69,C260)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SUMIFS(RAB!$F$14:$F$69,RAB!$C$14:$C$69,C261)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SUMIFS(RAB!$F$14:$F$69,RAB!$C$14:$C$69,C262)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SUMIFS(RAB!$F$14:$F$69,RAB!$C$14:$C$69,C263)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SUMIFS(RAB!$F$14:$F$69,RAB!$C$14:$C$69,C264)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SUMIFS(RAB!$F$14:$F$69,RAB!$C$14:$C$69,C265)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SUMIFS(RAB!$F$14:$F$69,RAB!$C$14:$C$69,C266)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SUMIFS(RAB!$F$14:$F$69,RAB!$C$14:$C$69,C267)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SUMIFS(RAB!$F$14:$F$69,RAB!$C$14:$C$69,C268)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SUMIFS(RAB!$F$14:$F$69,RAB!$C$14:$C$69,C269)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SUMIFS(RAB!$F$14:$F$69,RAB!$C$14:$C$69,C270)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SUMIFS(RAB!$F$14:$F$69,RAB!$C$14:$C$69,C271)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SUMIFS(RAB!$F$14:$F$69,RAB!$C$14:$C$69,C272)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SUMIFS(RAB!$F$14:$F$69,RAB!$C$14:$C$69,C273)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SUMIFS(RAB!$F$14:$F$69,RAB!$C$14:$C$69,C274)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SUMIFS(RAB!$F$14:$F$69,RAB!$C$14:$C$69,C275)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SUMIFS(RAB!$F$14:$F$69,RAB!$C$14:$C$69,C276)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SUMIFS(RAB!$F$14:$F$69,RAB!$C$14:$C$69,C277)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SUMIFS(RAB!$F$14:$F$69,RAB!$C$14:$C$69,C278)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SUMIFS(RAB!$F$14:$F$69,RAB!$C$14:$C$69,C279)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SUMIFS(RAB!$F$14:$F$69,RAB!$C$14:$C$69,C280)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SUMIFS(RAB!$F$14:$F$69,RAB!$C$14:$C$69,C281)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SUMIFS(RAB!$F$14:$F$69,RAB!$C$14:$C$69,C282)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SUMIFS(RAB!$F$14:$F$69,RAB!$C$14:$C$69,C283)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SUMIFS(RAB!$F$14:$F$69,RAB!$C$14:$C$69,C284)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SUMIFS(RAB!$F$14:$F$69,RAB!$C$14:$C$69,C285)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SUMIFS(RAB!$F$14:$F$69,RAB!$C$14:$C$69,C286)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SUMIFS(RAB!$F$14:$F$69,RAB!$C$14:$C$69,C287)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SUMIFS(RAB!$F$14:$F$69,RAB!$C$14:$C$69,C288)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SUMIFS(RAB!$F$14:$F$69,RAB!$C$14:$C$69,C289)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SUMIFS(RAB!$F$14:$F$69,RAB!$C$14:$C$69,C290)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SUMIFS(RAB!$F$14:$F$69,RAB!$C$14:$C$69,C291)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SUMIFS(RAB!$F$14:$F$69,RAB!$C$14:$C$69,C292)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SUMIFS(RAB!$F$14:$F$69,RAB!$C$14:$C$69,C293)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SUMIFS(RAB!$F$14:$F$69,RAB!$C$14:$C$69,C294)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SUMIFS(RAB!$F$14:$F$69,RAB!$C$14:$C$69,C295)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SUMIFS(RAB!$F$14:$F$69,RAB!$C$14:$C$69,C296)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SUMIFS(RAB!$F$14:$F$69,RAB!$C$14:$C$69,C297)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SUMIFS(RAB!$F$14:$F$69,RAB!$C$14:$C$69,C298)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SUMIFS(RAB!$F$14:$F$69,RAB!$C$14:$C$69,C299)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SUMIFS(RAB!$F$14:$F$69,RAB!$C$14:$C$69,C300)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SUMIFS(RAB!$F$14:$F$69,RAB!$C$14:$C$69,C301)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SUMIFS(RAB!$F$14:$F$69,RAB!$C$14:$C$69,C302)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SUMIFS(RAB!$F$14:$F$69,RAB!$C$14:$C$69,C303)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SUMIFS(RAB!$F$14:$F$69,RAB!$C$14:$C$69,C304)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SUMIFS(RAB!$F$14:$F$69,RAB!$C$14:$C$69,C305)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SUMIFS(RAB!$F$14:$F$69,RAB!$C$14:$C$69,C306)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SUMIFS(RAB!$F$14:$F$69,RAB!$C$14:$C$69,C307)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SUMIFS(RAB!$F$14:$F$69,RAB!$C$14:$C$69,C308)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SUMIFS(RAB!$F$14:$F$69,RAB!$C$14:$C$69,C309)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SUMIFS(RAB!$F$14:$F$69,RAB!$C$14:$C$69,C310)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SUMIFS(RAB!$F$14:$F$69,RAB!$C$14:$C$69,C311)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SUMIFS(RAB!$F$14:$F$69,RAB!$C$14:$C$69,C312)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SUMIFS(RAB!$F$14:$F$69,RAB!$C$14:$C$69,C313)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SUMIFS(RAB!$F$14:$F$69,RAB!$C$14:$C$69,C314)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SUMIFS(RAB!$F$14:$F$69,RAB!$C$14:$C$69,C315)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SUMIFS(RAB!$F$14:$F$69,RAB!$C$14:$C$69,C316)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SUMIFS(RAB!$F$14:$F$69,RAB!$C$14:$C$69,C317)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SUMIFS(RAB!$F$14:$F$69,RAB!$C$14:$C$69,C318)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SUMIFS(RAB!$F$14:$F$69,RAB!$C$14:$C$69,C319)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SUMIFS(RAB!$F$14:$F$69,RAB!$C$14:$C$69,C320)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SUMIFS(RAB!$F$14:$F$69,RAB!$C$14:$C$69,C321)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SUMIFS(RAB!$F$14:$F$69,RAB!$C$14:$C$69,C322)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SUMIFS(RAB!$F$14:$F$69,RAB!$C$14:$C$69,C323)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SUMIFS(RAB!$F$14:$F$69,RAB!$C$14:$C$69,C324)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SUMIFS(RAB!$F$14:$F$69,RAB!$C$14:$C$69,C325)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SUMIFS(RAB!$F$14:$F$69,RAB!$C$14:$C$69,C326)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SUMIFS(RAB!$F$14:$F$69,RAB!$C$14:$C$69,C327)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SUMIFS(RAB!$F$14:$F$69,RAB!$C$14:$C$69,C328)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SUMIFS(RAB!$F$14:$F$69,RAB!$C$14:$C$69,C329)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SUMIFS(RAB!$F$14:$F$69,RAB!$C$14:$C$69,C330)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SUMIFS(RAB!$F$14:$F$69,RAB!$C$14:$C$69,C331)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SUMIFS(RAB!$F$14:$F$69,RAB!$C$14:$C$69,C332)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SUMIFS(RAB!$F$14:$F$69,RAB!$C$14:$C$69,C333)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SUMIFS(RAB!$F$14:$F$69,RAB!$C$14:$C$69,C334)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SUMIFS(RAB!$F$14:$F$69,RAB!$C$14:$C$69,C335)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SUMIFS(RAB!$F$14:$F$69,RAB!$C$14:$C$69,C336)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SUMIFS(RAB!$F$14:$F$69,RAB!$C$14:$C$69,C337)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SUMIFS(RAB!$F$14:$F$69,RAB!$C$14:$C$69,C338)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SUMIFS(RAB!$F$14:$F$69,RAB!$C$14:$C$69,C339)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SUMIFS(RAB!$F$14:$F$69,RAB!$C$14:$C$69,C340)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SUMIFS(RAB!$F$14:$F$69,RAB!$C$14:$C$69,C341)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SUMIFS(RAB!$F$14:$F$69,RAB!$C$14:$C$69,C342)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SUMIFS(RAB!$F$14:$F$69,RAB!$C$14:$C$69,C343)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SUMIFS(RAB!$F$14:$F$69,RAB!$C$14:$C$69,C344)</f>
        <v>220</v>
      </c>
      <c r="E344" s="24">
        <f t="shared" ca="1" si="22"/>
        <v>1</v>
      </c>
      <c r="F344" s="24">
        <f ca="1">IF(D344=0,0,SUM($E$223:E344))</f>
        <v>5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SUMIFS(RAB!$F$14:$F$69,RAB!$C$14:$C$69,C345)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SUMIFS(RAB!$F$14:$F$69,RAB!$C$14:$C$69,C346)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SUMIFS(RAB!$F$14:$F$69,RAB!$C$14:$C$69,C347)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SUMIFS(RAB!$F$14:$F$69,RAB!$C$14:$C$69,C348)</f>
        <v>35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SUMIFS(RAB!$F$14:$F$69,RAB!$C$14:$C$69,C349)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SUMIFS(RAB!$F$14:$F$69,RAB!$C$14:$C$69,C350)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SUMIFS(RAB!$F$14:$F$69,RAB!$C$14:$C$69,C351)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SUMIFS(RAB!$F$14:$F$69,RAB!$C$14:$C$69,C352)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SUMIFS(RAB!$F$14:$F$69,RAB!$C$14:$C$69,C353)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SUMIFS(RAB!$F$14:$F$69,RAB!$C$14:$C$69,C354)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SUMIFS(RAB!$F$14:$F$69,RAB!$C$14:$C$69,C355)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SUMIFS(RAB!$F$14:$F$69,RAB!$C$14:$C$69,C356)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SUMIFS(RAB!$F$14:$F$69,RAB!$C$14:$C$69,C357)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SUMIFS(RAB!$F$14:$F$69,RAB!$C$14:$C$69,C358)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SUMIFS(RAB!$F$14:$F$69,RAB!$C$14:$C$69,C359)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SUMIFS(RAB!$F$14:$F$69,RAB!$C$14:$C$69,C360)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SUMIFS(RAB!$F$14:$F$69,RAB!$C$14:$C$69,C361)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SUMIFS(RAB!$F$14:$F$69,RAB!$C$14:$C$69,C362)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SUMIFS(RAB!$F$14:$F$69,RAB!$C$14:$C$69,C363)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SUMIFS(RAB!$F$14:$F$69,RAB!$C$14:$C$69,C364)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SUMIFS(RAB!$F$14:$F$69,RAB!$C$14:$C$69,C365)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SUMIFS(RAB!$F$14:$F$69,RAB!$C$14:$C$69,C366)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SUMIFS(RAB!$F$14:$F$69,RAB!$C$14:$C$69,C367)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SUMIFS(RAB!$F$14:$F$69,RAB!$C$14:$C$69,C368)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SUMIFS(RAB!$F$14:$F$69,RAB!$C$14:$C$69,C369)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SUMIFS(RAB!$F$14:$F$69,RAB!$C$14:$C$69,C370)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SUMIFS(RAB!$F$14:$F$69,RAB!$C$14:$C$69,C371)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SUMIFS(RAB!$F$14:$F$69,RAB!$C$14:$C$69,C372)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SUMIFS(RAB!$F$14:$F$69,RAB!$C$14:$C$69,C373)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6" priority="5" operator="equal">
      <formula>0</formula>
    </cfRule>
  </conditionalFormatting>
  <conditionalFormatting sqref="C16:C165">
    <cfRule type="cellIs" dxfId="45" priority="4" stopIfTrue="1" operator="equal">
      <formula>0</formula>
    </cfRule>
  </conditionalFormatting>
  <conditionalFormatting sqref="C16:E165">
    <cfRule type="cellIs" dxfId="44" priority="1" operator="equal">
      <formula>0</formula>
    </cfRule>
  </conditionalFormatting>
  <conditionalFormatting sqref="D224:F373">
    <cfRule type="cellIs" dxfId="43" priority="8" operator="equal">
      <formula>0</formula>
    </cfRule>
  </conditionalFormatting>
  <conditionalFormatting sqref="E1:E3 G1:G115 E6:E15 H12:I12 N13 F14:F15 H14:K115 E166:K166 G166:G223 E167:F167 H167:K167">
    <cfRule type="cellIs" dxfId="42" priority="43" stopIfTrue="1" operator="equal">
      <formula>0</formula>
    </cfRule>
  </conditionalFormatting>
  <conditionalFormatting sqref="E171:E65536">
    <cfRule type="cellIs" dxfId="41" priority="9" stopIfTrue="1" operator="equal">
      <formula>0</formula>
    </cfRule>
  </conditionalFormatting>
  <conditionalFormatting sqref="G224">
    <cfRule type="cellIs" dxfId="40" priority="10" operator="equal">
      <formula>0</formula>
    </cfRule>
  </conditionalFormatting>
  <conditionalFormatting sqref="G225:G65536">
    <cfRule type="cellIs" dxfId="39" priority="14" stopIfTrue="1" operator="equal">
      <formula>0</formula>
    </cfRule>
  </conditionalFormatting>
  <conditionalFormatting sqref="R14:T166 G116:K165">
    <cfRule type="cellIs" dxfId="3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10" activePane="bottomRight" state="frozen"/>
      <selection activeCell="D209" sqref="D209"/>
      <selection pane="topRight" activeCell="D209" sqref="D209"/>
      <selection pane="bottomLeft" activeCell="D209" sqref="D209"/>
      <selection pane="bottomRight" activeCell="C924" sqref="C92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1605</v>
      </c>
      <c r="G4" s="108" t="s">
        <v>1604</v>
      </c>
      <c r="H4" s="55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7" priority="138" operator="equal">
      <formula>0</formula>
    </cfRule>
  </conditionalFormatting>
  <conditionalFormatting sqref="B8:C135">
    <cfRule type="cellIs" dxfId="36" priority="51" operator="equal">
      <formula>0</formula>
    </cfRule>
  </conditionalFormatting>
  <conditionalFormatting sqref="B150:G1493">
    <cfRule type="cellIs" dxfId="35" priority="1" operator="equal">
      <formula>0</formula>
    </cfRule>
  </conditionalFormatting>
  <conditionalFormatting sqref="C143:G149">
    <cfRule type="cellIs" dxfId="34" priority="5" operator="equal">
      <formula>0</formula>
    </cfRule>
  </conditionalFormatting>
  <conditionalFormatting sqref="D9:G142">
    <cfRule type="cellIs" dxfId="33" priority="11" operator="equal">
      <formula>0</formula>
    </cfRule>
  </conditionalFormatting>
  <conditionalFormatting sqref="D1:IV5 A1:C7 D6:K6 H1455:IV1457 H1458:XFD1485 H1486:H1493 I1486:XFD1494 A1494:H1494 A1495:XFD65536">
    <cfRule type="cellIs" dxfId="32" priority="163" operator="equal">
      <formula>0</formula>
    </cfRule>
  </conditionalFormatting>
  <conditionalFormatting sqref="D7:IV8 C136:C142 B136:B149">
    <cfRule type="cellIs" dxfId="31" priority="62" operator="equal">
      <formula>0</formula>
    </cfRule>
  </conditionalFormatting>
  <conditionalFormatting sqref="H9:H1418">
    <cfRule type="cellIs" dxfId="30" priority="129" operator="equal">
      <formula>0</formula>
    </cfRule>
  </conditionalFormatting>
  <conditionalFormatting sqref="H1419:I1454">
    <cfRule type="cellIs" dxfId="29" priority="128" operator="equal">
      <formula>0</formula>
    </cfRule>
  </conditionalFormatting>
  <conditionalFormatting sqref="I108:I1418">
    <cfRule type="cellIs" dxfId="28" priority="125" operator="equal">
      <formula>0</formula>
    </cfRule>
  </conditionalFormatting>
  <conditionalFormatting sqref="J108:IV1454">
    <cfRule type="cellIs" dxfId="27" priority="139" operator="equal">
      <formula>0</formula>
    </cfRule>
  </conditionalFormatting>
  <conditionalFormatting sqref="M6:IV6">
    <cfRule type="cellIs" dxfId="2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tabSelected="1" topLeftCell="A13" zoomScale="70" zoomScaleNormal="70" zoomScaleSheetLayoutView="85" workbookViewId="0">
      <selection activeCell="N18" sqref="N18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10.1406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7" t="s">
        <v>1454</v>
      </c>
      <c r="C2" s="567"/>
      <c r="D2" s="567"/>
      <c r="E2" s="56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2" t="s">
        <v>1532</v>
      </c>
      <c r="C4" s="573"/>
      <c r="D4" s="573"/>
      <c r="E4" s="574"/>
      <c r="F4" s="434"/>
      <c r="G4" s="434"/>
      <c r="H4" s="435"/>
      <c r="I4" s="597" t="s">
        <v>1533</v>
      </c>
      <c r="J4" s="598"/>
      <c r="K4" s="598"/>
      <c r="L4" s="599"/>
    </row>
    <row r="5" spans="1:12" ht="46.5" customHeight="1">
      <c r="A5" s="204"/>
      <c r="B5" s="437" t="s">
        <v>1379</v>
      </c>
      <c r="C5" s="277" t="s">
        <v>9</v>
      </c>
      <c r="D5" s="568" t="str">
        <f>DATA!D14</f>
        <v>KSPPS PONTREN</v>
      </c>
      <c r="E5" s="569"/>
      <c r="F5" s="208"/>
      <c r="G5" s="208"/>
      <c r="I5" s="438" t="s">
        <v>1379</v>
      </c>
      <c r="J5" s="277" t="s">
        <v>9</v>
      </c>
      <c r="K5" s="600" t="str">
        <f>D5</f>
        <v>KSPPS PONTREN</v>
      </c>
      <c r="L5" s="601"/>
    </row>
    <row r="6" spans="1:12" ht="31.5" customHeight="1">
      <c r="A6" s="204"/>
      <c r="B6" s="437" t="s">
        <v>1529</v>
      </c>
      <c r="C6" s="277" t="s">
        <v>9</v>
      </c>
      <c r="D6" s="577">
        <f>DATA!D17*1000</f>
        <v>0</v>
      </c>
      <c r="E6" s="578"/>
      <c r="F6" s="208"/>
      <c r="G6" s="208"/>
      <c r="I6" s="438" t="s">
        <v>1530</v>
      </c>
      <c r="J6" s="277" t="s">
        <v>9</v>
      </c>
      <c r="K6" s="602">
        <f>DATA!D20*1000</f>
        <v>11000</v>
      </c>
      <c r="L6" s="603"/>
    </row>
    <row r="7" spans="1:12" ht="30.75" customHeight="1">
      <c r="A7" s="204"/>
      <c r="B7" s="437" t="s">
        <v>1441</v>
      </c>
      <c r="C7" s="277" t="s">
        <v>9</v>
      </c>
      <c r="D7" s="575">
        <f>DATA!D18</f>
        <v>1</v>
      </c>
      <c r="E7" s="576"/>
      <c r="F7" s="436" t="s">
        <v>1453</v>
      </c>
      <c r="I7" s="438" t="s">
        <v>1441</v>
      </c>
      <c r="J7" s="277" t="s">
        <v>9</v>
      </c>
      <c r="K7" s="604">
        <f>DATA!D21</f>
        <v>1</v>
      </c>
      <c r="L7" s="605"/>
    </row>
    <row r="8" spans="1:12" ht="51" customHeight="1">
      <c r="A8" s="204"/>
      <c r="B8" s="437" t="s">
        <v>1442</v>
      </c>
      <c r="C8" s="277" t="s">
        <v>9</v>
      </c>
      <c r="D8" s="575">
        <f>DATA!D19</f>
        <v>220</v>
      </c>
      <c r="E8" s="576"/>
      <c r="F8" s="436" t="s">
        <v>1453</v>
      </c>
      <c r="G8" s="431">
        <v>220</v>
      </c>
      <c r="I8" s="438" t="s">
        <v>1442</v>
      </c>
      <c r="J8" s="277" t="s">
        <v>9</v>
      </c>
      <c r="K8" s="604">
        <f>DATA!D22</f>
        <v>220</v>
      </c>
      <c r="L8" s="605"/>
    </row>
    <row r="9" spans="1:12" ht="30" customHeight="1" thickBot="1">
      <c r="A9" s="204"/>
      <c r="B9" s="443" t="s">
        <v>1541</v>
      </c>
      <c r="C9" s="433" t="s">
        <v>9</v>
      </c>
      <c r="D9" s="570">
        <f>IF(D7=1,D6/(380/3^0.5),(D6/(380*3^0.5)))</f>
        <v>0</v>
      </c>
      <c r="E9" s="571"/>
      <c r="F9" s="207"/>
      <c r="G9" s="432">
        <v>380</v>
      </c>
      <c r="I9" s="444" t="s">
        <v>1541</v>
      </c>
      <c r="J9" s="433" t="s">
        <v>9</v>
      </c>
      <c r="K9" s="606">
        <f>IF(K7=1,K6/(380/3^0.5),(K6/(380*3^0.5)))</f>
        <v>50.138312850678027</v>
      </c>
      <c r="L9" s="607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9" t="s">
        <v>1629</v>
      </c>
      <c r="E12" s="580"/>
      <c r="F12" s="208"/>
      <c r="G12" s="208"/>
      <c r="I12" s="460" t="s">
        <v>1534</v>
      </c>
      <c r="J12" s="461" t="s">
        <v>9</v>
      </c>
      <c r="K12" s="579" t="s">
        <v>1629</v>
      </c>
      <c r="L12" s="580"/>
    </row>
    <row r="13" spans="1:12" ht="31.5" customHeight="1">
      <c r="A13" s="204"/>
      <c r="B13" s="468" t="s">
        <v>1380</v>
      </c>
      <c r="C13" s="448" t="s">
        <v>9</v>
      </c>
      <c r="D13" s="583" t="s">
        <v>1630</v>
      </c>
      <c r="E13" s="584"/>
      <c r="F13" s="208"/>
      <c r="G13" s="208"/>
      <c r="I13" s="462" t="s">
        <v>1380</v>
      </c>
      <c r="J13" s="448" t="s">
        <v>9</v>
      </c>
      <c r="K13" s="583" t="s">
        <v>1630</v>
      </c>
      <c r="L13" s="584"/>
    </row>
    <row r="14" spans="1:12" ht="30.75" customHeight="1">
      <c r="A14" s="204"/>
      <c r="B14" s="468" t="s">
        <v>1535</v>
      </c>
      <c r="C14" s="448" t="s">
        <v>9</v>
      </c>
      <c r="D14" s="591"/>
      <c r="E14" s="592"/>
      <c r="F14" s="716" t="s">
        <v>1631</v>
      </c>
      <c r="G14" s="440">
        <v>50</v>
      </c>
      <c r="I14" s="462" t="s">
        <v>1535</v>
      </c>
      <c r="J14" s="448" t="s">
        <v>9</v>
      </c>
      <c r="K14" s="591">
        <v>50</v>
      </c>
      <c r="L14" s="592"/>
    </row>
    <row r="15" spans="1:12" ht="57" customHeight="1">
      <c r="A15" s="204"/>
      <c r="B15" s="468" t="s">
        <v>1441</v>
      </c>
      <c r="C15" s="448" t="s">
        <v>9</v>
      </c>
      <c r="D15" s="454">
        <v>1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1</v>
      </c>
      <c r="L15" s="463"/>
    </row>
    <row r="16" spans="1:12" ht="44.25" customHeight="1">
      <c r="A16" s="204"/>
      <c r="B16" s="468" t="s">
        <v>1545</v>
      </c>
      <c r="C16" s="448"/>
      <c r="D16" s="593">
        <f>72+24</f>
        <v>96</v>
      </c>
      <c r="E16" s="594"/>
      <c r="F16" s="436"/>
      <c r="G16" s="440">
        <v>160</v>
      </c>
      <c r="I16" s="462" t="s">
        <v>1537</v>
      </c>
      <c r="J16" s="448" t="s">
        <v>9</v>
      </c>
      <c r="K16" s="595">
        <f>K9</f>
        <v>50.138312850678027</v>
      </c>
      <c r="L16" s="596"/>
    </row>
    <row r="17" spans="1:12" ht="34.5" customHeight="1">
      <c r="A17" s="204"/>
      <c r="B17" s="468" t="s">
        <v>1538</v>
      </c>
      <c r="C17" s="448" t="s">
        <v>9</v>
      </c>
      <c r="D17" s="585">
        <f>IF(D15=1,D14/(20/3^0.5),(D14/(20*3^0.5)))</f>
        <v>0</v>
      </c>
      <c r="E17" s="586"/>
      <c r="F17" s="436" t="s">
        <v>1453</v>
      </c>
      <c r="G17" s="441">
        <v>200</v>
      </c>
      <c r="I17" s="462" t="s">
        <v>1538</v>
      </c>
      <c r="J17" s="448" t="s">
        <v>9</v>
      </c>
      <c r="K17" s="589">
        <f>IF(K15=1,K14/(20/3^0.5),(K14/(20*3^0.5)))</f>
        <v>4.3301270189221928</v>
      </c>
      <c r="L17" s="590"/>
    </row>
    <row r="18" spans="1:12" ht="34.5" customHeight="1">
      <c r="A18" s="204"/>
      <c r="B18" s="468" t="s">
        <v>1539</v>
      </c>
      <c r="C18" s="448" t="s">
        <v>9</v>
      </c>
      <c r="D18" s="585">
        <f>IF(D15=1,D14/(380/3^0.5),(D14/(380*3^0.5)))*1000</f>
        <v>0</v>
      </c>
      <c r="E18" s="586"/>
      <c r="F18" s="436" t="s">
        <v>1453</v>
      </c>
      <c r="G18" s="441">
        <v>250</v>
      </c>
      <c r="I18" s="462" t="s">
        <v>1539</v>
      </c>
      <c r="J18" s="448" t="s">
        <v>9</v>
      </c>
      <c r="K18" s="589">
        <f>IF(K15=1,K14/(380/3^0.5),(K14/(380*3^0.5)))*1000</f>
        <v>227.90142204853646</v>
      </c>
      <c r="L18" s="590"/>
    </row>
    <row r="19" spans="1:12" ht="30" customHeight="1">
      <c r="A19" s="204"/>
      <c r="B19" s="469" t="s">
        <v>1531</v>
      </c>
      <c r="C19" s="447" t="s">
        <v>9</v>
      </c>
      <c r="D19" s="585">
        <f>IF(D15=1,D14/(380/3^0.5),(D14/(380*3^0.5)))</f>
        <v>0</v>
      </c>
      <c r="E19" s="586"/>
      <c r="F19" s="207"/>
      <c r="G19" s="432"/>
      <c r="I19" s="464" t="s">
        <v>1531</v>
      </c>
      <c r="J19" s="447" t="s">
        <v>9</v>
      </c>
      <c r="K19" s="589">
        <f>IF(K15=1,K14/(380/3^0.5),(K14/(380*3^0.5)))</f>
        <v>0.22790142204853647</v>
      </c>
      <c r="L19" s="590"/>
    </row>
    <row r="20" spans="1:12" ht="30" customHeight="1" thickBot="1">
      <c r="A20" s="204"/>
      <c r="B20" s="470" t="s">
        <v>1540</v>
      </c>
      <c r="C20" s="466" t="s">
        <v>9</v>
      </c>
      <c r="D20" s="581" t="e">
        <f>D16/D18</f>
        <v>#DIV/0!</v>
      </c>
      <c r="E20" s="582"/>
      <c r="F20" s="207"/>
      <c r="G20" s="432"/>
      <c r="I20" s="465" t="s">
        <v>1531</v>
      </c>
      <c r="J20" s="466" t="s">
        <v>9</v>
      </c>
      <c r="K20" s="587">
        <f>K16/K18</f>
        <v>0.22000000000000003</v>
      </c>
      <c r="L20" s="588"/>
    </row>
    <row r="21" spans="1:12" ht="9.75" customHeight="1">
      <c r="A21" s="204"/>
      <c r="B21" s="455" t="s">
        <v>1540</v>
      </c>
      <c r="C21" s="456" t="s">
        <v>9</v>
      </c>
      <c r="D21" s="566">
        <v>1</v>
      </c>
      <c r="E21" s="566"/>
      <c r="F21" s="457"/>
      <c r="G21" s="458"/>
      <c r="H21" s="459"/>
      <c r="I21" s="455" t="s">
        <v>1531</v>
      </c>
      <c r="J21" s="456" t="s">
        <v>9</v>
      </c>
      <c r="K21" s="566">
        <v>1</v>
      </c>
      <c r="L21" s="566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63"/>
      <c r="C24" s="564"/>
      <c r="D24" s="564"/>
      <c r="E24" s="565"/>
      <c r="I24" s="563"/>
      <c r="J24" s="564"/>
      <c r="K24" s="564"/>
      <c r="L24" s="565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5" priority="5" stopIfTrue="1" operator="greaterThan">
      <formula>0.89</formula>
    </cfRule>
    <cfRule type="cellIs" dxfId="2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16" zoomScaleNormal="100" workbookViewId="0">
      <selection activeCell="D21" sqref="D21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8"/>
      <c r="C1" s="608"/>
      <c r="D1" s="60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RAB!K75</f>
        <v>51146827.641000003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1022936.5528200001</v>
      </c>
    </row>
    <row r="12" spans="2:11" ht="9" customHeight="1">
      <c r="B12" s="609"/>
      <c r="C12" s="609"/>
      <c r="D12" s="609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1622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11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1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220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K1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0" t="s">
        <v>1357</v>
      </c>
      <c r="C3" s="610"/>
      <c r="D3" s="610"/>
      <c r="E3" s="610"/>
      <c r="F3" s="305" t="str">
        <f>DATA!D14</f>
        <v>KSPPS PONTREN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1" t="s">
        <v>1349</v>
      </c>
      <c r="C5" s="611" t="s">
        <v>1358</v>
      </c>
      <c r="D5" s="612" t="s">
        <v>1359</v>
      </c>
      <c r="E5" s="612" t="s">
        <v>1360</v>
      </c>
      <c r="F5" s="611" t="s">
        <v>1361</v>
      </c>
      <c r="G5" s="611"/>
      <c r="H5" s="611"/>
      <c r="I5" s="611"/>
      <c r="J5" s="611"/>
      <c r="K5" s="611" t="s">
        <v>1362</v>
      </c>
      <c r="L5" s="611"/>
      <c r="M5" s="307"/>
      <c r="N5" s="615" t="s">
        <v>1363</v>
      </c>
      <c r="O5" s="612" t="s">
        <v>1364</v>
      </c>
      <c r="P5" s="612" t="s">
        <v>1365</v>
      </c>
      <c r="Q5" s="612" t="s">
        <v>1366</v>
      </c>
      <c r="R5" s="308"/>
      <c r="S5" s="309"/>
      <c r="T5" s="613" t="s">
        <v>1367</v>
      </c>
      <c r="U5" s="310"/>
    </row>
    <row r="6" spans="1:21" ht="20.100000000000001" customHeight="1">
      <c r="B6" s="611"/>
      <c r="C6" s="611"/>
      <c r="D6" s="611"/>
      <c r="E6" s="61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6"/>
      <c r="O6" s="611"/>
      <c r="P6" s="611"/>
      <c r="Q6" s="611"/>
      <c r="R6" s="308"/>
      <c r="S6" s="309"/>
      <c r="T6" s="611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1760</v>
      </c>
      <c r="D7" s="316">
        <f>C7*4/24</f>
        <v>293.33333333333331</v>
      </c>
      <c r="E7" s="316">
        <f>C7-D7</f>
        <v>1466.6666666666667</v>
      </c>
      <c r="F7" s="317">
        <f ca="1">DATA!D10/1000000</f>
        <v>51.146827641000002</v>
      </c>
      <c r="G7" s="318">
        <f ca="1">DATA!$D$11/1000000</f>
        <v>1.0229365528200001</v>
      </c>
      <c r="H7" s="318">
        <f>C7*DATA!$D$5/1000000</f>
        <v>1.908060080760388</v>
      </c>
      <c r="I7" s="318">
        <f>(C7*DATA!$D$5*DATA!$D$7)/1000000</f>
        <v>4.2931351817108727E-2</v>
      </c>
      <c r="J7" s="316">
        <f ca="1">SUM(F7:I7)</f>
        <v>54.120755626397496</v>
      </c>
      <c r="K7" s="319">
        <f>DATA!D9/1000000</f>
        <v>10.659000000000001</v>
      </c>
      <c r="L7" s="316">
        <f>((D7*DATA!$D$23)/1000000)+((E7*DATA!$D$24)/1000000)</f>
        <v>2.542672</v>
      </c>
      <c r="M7" s="316">
        <f>K7+L7</f>
        <v>13.201672</v>
      </c>
      <c r="N7" s="316">
        <f ca="1">M7-J7</f>
        <v>-40.919083626397494</v>
      </c>
      <c r="O7" s="314">
        <v>1</v>
      </c>
      <c r="P7" s="316">
        <f ca="1">O7*N7</f>
        <v>-40.919083626397494</v>
      </c>
      <c r="Q7" s="316">
        <f ca="1">P7</f>
        <v>-40.919083626397494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1.0229365528200001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6.87591085055249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0.75210514944750972</v>
      </c>
      <c r="O8" s="315">
        <f>1/(1+'[92]Asumsi I'!$C$3)^(KKF!A8)</f>
        <v>0.89285714285714279</v>
      </c>
      <c r="P8" s="316">
        <f ca="1">O8*N8</f>
        <v>0.67152245486384787</v>
      </c>
      <c r="Q8" s="316">
        <f ca="1">Q7+P8</f>
        <v>-40.247561171533647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1.0229365528200001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6.87591085055249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0.75210514944750972</v>
      </c>
      <c r="O9" s="322">
        <f>1/(1+'[92]Asumsi I'!$C$3)^(KKF!A9)</f>
        <v>0.79719387755102034</v>
      </c>
      <c r="P9" s="316">
        <f t="shared" ref="P9:P32" ca="1" si="7">O9*N9</f>
        <v>0.59957362041414997</v>
      </c>
      <c r="Q9" s="316">
        <f ca="1">Q8+P9</f>
        <v>-39.647987551119499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1.0229365528200001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6.87591085055249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0.75210514944750972</v>
      </c>
      <c r="O10" s="315">
        <f>1/(1+'[92]Asumsi I'!$C$3)^(KKF!A10)</f>
        <v>0.71178024781341087</v>
      </c>
      <c r="P10" s="316">
        <f t="shared" ca="1" si="7"/>
        <v>0.53533358965549094</v>
      </c>
      <c r="Q10" s="316">
        <f t="shared" ref="Q10:Q30" ca="1" si="9">Q9+P10</f>
        <v>-39.112653961464005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1.0229365528200001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6.87591085055249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0.75210514944750972</v>
      </c>
      <c r="O11" s="315">
        <f>1/(1+'[92]Asumsi I'!$C$3)^(KKF!A11)</f>
        <v>0.63551807840483121</v>
      </c>
      <c r="P11" s="316">
        <f t="shared" ca="1" si="7"/>
        <v>0.47797641933525981</v>
      </c>
      <c r="Q11" s="316">
        <f t="shared" ca="1" si="9"/>
        <v>-38.634677542128742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1.0229365528200001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6.87591085055249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0.75210514944750972</v>
      </c>
      <c r="O12" s="315">
        <f>1/(1+'[92]Asumsi I'!$C$3)^(KKF!A12)</f>
        <v>0.56742685571859919</v>
      </c>
      <c r="P12" s="316">
        <f t="shared" ca="1" si="7"/>
        <v>0.42676466012076758</v>
      </c>
      <c r="Q12" s="316">
        <f t="shared" ca="1" si="9"/>
        <v>-38.207912882007975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1.0229365528200001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6.87591085055249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0.75210514944750972</v>
      </c>
      <c r="O13" s="315">
        <f>1/(1+'[92]Asumsi I'!$C$3)^(KKF!A13)</f>
        <v>0.50663112117732068</v>
      </c>
      <c r="P13" s="316">
        <f t="shared" ca="1" si="7"/>
        <v>0.38103987510782816</v>
      </c>
      <c r="Q13" s="316">
        <f t="shared" ca="1" si="9"/>
        <v>-37.826873006900144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1.0229365528200001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6.87591085055249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0.75210514944750972</v>
      </c>
      <c r="O14" s="315">
        <f>1/(1+'[92]Asumsi I'!$C$3)^(KKF!A14)</f>
        <v>0.45234921533689343</v>
      </c>
      <c r="P14" s="316">
        <f t="shared" ca="1" si="7"/>
        <v>0.34021417420341798</v>
      </c>
      <c r="Q14" s="316">
        <f t="shared" ca="1" si="9"/>
        <v>-37.486658832696726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1.0229365528200001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6.87591085055249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0.75210514944750972</v>
      </c>
      <c r="O15" s="315">
        <f>1/(1+'[92]Asumsi I'!$C$3)^(KKF!A15)</f>
        <v>0.4038832279793691</v>
      </c>
      <c r="P15" s="316">
        <f t="shared" ca="1" si="7"/>
        <v>0.30376265553876602</v>
      </c>
      <c r="Q15" s="316">
        <f t="shared" ca="1" si="9"/>
        <v>-37.182896177157957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1.0229365528200001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6.87591085055249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0.75210514944750972</v>
      </c>
      <c r="O16" s="315">
        <f>1/(1+'[92]Asumsi I'!$C$3)^(KKF!A16)</f>
        <v>0.36061002498157957</v>
      </c>
      <c r="P16" s="316">
        <f t="shared" ca="1" si="7"/>
        <v>0.27121665673104112</v>
      </c>
      <c r="Q16" s="316">
        <f t="shared" ca="1" si="9"/>
        <v>-36.911679520426915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1.0229365528200001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6.87591085055249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0.75210514944750972</v>
      </c>
      <c r="O17" s="315">
        <f>1/(1+'[92]Asumsi I'!$C$3)^(KKF!A17)</f>
        <v>0.32197323659069599</v>
      </c>
      <c r="P17" s="316">
        <f t="shared" ca="1" si="7"/>
        <v>0.2421577292241438</v>
      </c>
      <c r="Q17" s="316">
        <f t="shared" ca="1" si="9"/>
        <v>-36.669521791202769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1.0229365528200001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6.87591085055249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0.75210514944750972</v>
      </c>
      <c r="O18" s="315">
        <f>1/(1+'[92]Asumsi I'!$C$3)^(KKF!A18)</f>
        <v>0.28747610409883567</v>
      </c>
      <c r="P18" s="316">
        <f t="shared" ca="1" si="7"/>
        <v>0.21621225823584267</v>
      </c>
      <c r="Q18" s="316">
        <f t="shared" ca="1" si="9"/>
        <v>-36.453309532966927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1.0229365528200001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6.87591085055249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0.75210514944750972</v>
      </c>
      <c r="O19" s="315">
        <f>1/(1+'[92]Asumsi I'!$C$3)^(KKF!A19)</f>
        <v>0.25667509294538904</v>
      </c>
      <c r="P19" s="316">
        <f t="shared" ca="1" si="7"/>
        <v>0.19304665913914526</v>
      </c>
      <c r="Q19" s="316">
        <f t="shared" ca="1" si="9"/>
        <v>-36.260262873827784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1.0229365528200001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6.87591085055249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0.75210514944750972</v>
      </c>
      <c r="O20" s="315">
        <f>1/(1+'[92]Asumsi I'!$C$3)^(KKF!A20)</f>
        <v>0.22917419012981158</v>
      </c>
      <c r="P20" s="316">
        <f t="shared" ca="1" si="7"/>
        <v>0.17236308851709395</v>
      </c>
      <c r="Q20" s="316">
        <f t="shared" ca="1" si="9"/>
        <v>-36.08789978531069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1.0229365528200001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6.87591085055249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0.75210514944750972</v>
      </c>
      <c r="O21" s="315">
        <f>1/(1+'[92]Asumsi I'!$C$3)^(KKF!A21)</f>
        <v>0.20461981261590317</v>
      </c>
      <c r="P21" s="316">
        <f t="shared" ca="1" si="7"/>
        <v>0.15389561474740529</v>
      </c>
      <c r="Q21" s="316">
        <f t="shared" ca="1" si="9"/>
        <v>-35.934004170563284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1.0229365528200001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6.87591085055249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0.75210514944750972</v>
      </c>
      <c r="O22" s="315">
        <f>1/(1+'[92]Asumsi I'!$C$3)^(KKF!A22)</f>
        <v>0.18269626126419927</v>
      </c>
      <c r="P22" s="316">
        <f t="shared" ca="1" si="7"/>
        <v>0.13740679888161186</v>
      </c>
      <c r="Q22" s="316">
        <f t="shared" ca="1" si="9"/>
        <v>-35.796597371681671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1.0229365528200001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6.87591085055249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0.75210514944750972</v>
      </c>
      <c r="O23" s="315">
        <f>1/(1+'[92]Asumsi I'!$C$3)^(KKF!A23)</f>
        <v>0.16312166184303503</v>
      </c>
      <c r="P23" s="316">
        <f t="shared" ca="1" si="7"/>
        <v>0.12268464185858201</v>
      </c>
      <c r="Q23" s="316">
        <f t="shared" ca="1" si="9"/>
        <v>-35.673912729823087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1.0229365528200001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6.87591085055249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0.75210514944750972</v>
      </c>
      <c r="O24" s="315">
        <f>1/(1+'[92]Asumsi I'!$C$3)^(KKF!A24)</f>
        <v>0.14564434093128129</v>
      </c>
      <c r="P24" s="316">
        <f t="shared" ca="1" si="7"/>
        <v>0.10953985880230536</v>
      </c>
      <c r="Q24" s="316">
        <f t="shared" ca="1" si="9"/>
        <v>-35.56437287102078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1.0229365528200001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6.87591085055249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0.75210514944750972</v>
      </c>
      <c r="O25" s="315">
        <f>1/(1+'[92]Asumsi I'!$C$3)^(KKF!A25)</f>
        <v>0.13003959011721541</v>
      </c>
      <c r="P25" s="316">
        <f t="shared" ca="1" si="7"/>
        <v>9.7803445359201213E-2</v>
      </c>
      <c r="Q25" s="316">
        <f t="shared" ca="1" si="9"/>
        <v>-35.466569425661575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1.0229365528200001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6.87591085055249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0.75210514944750972</v>
      </c>
      <c r="O26" s="315">
        <f>1/(1+'[92]Asumsi I'!$C$3)^(KKF!A26)</f>
        <v>0.1161067768903709</v>
      </c>
      <c r="P26" s="316">
        <f t="shared" ca="1" si="7"/>
        <v>8.7324504785001075E-2</v>
      </c>
      <c r="Q26" s="316">
        <f t="shared" ca="1" si="9"/>
        <v>-35.379244920876573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1.0229365528200001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6.87591085055249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0.75210514944750972</v>
      </c>
      <c r="O27" s="315">
        <f>1/(1+'[92]Asumsi I'!$C$3)^(KKF!A27)</f>
        <v>0.1036667650806883</v>
      </c>
      <c r="P27" s="316">
        <f t="shared" ca="1" si="7"/>
        <v>7.7968307843750959E-2</v>
      </c>
      <c r="Q27" s="316">
        <f t="shared" ca="1" si="9"/>
        <v>-35.301276613032819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1.0229365528200001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6.87591085055249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0.75210514944750972</v>
      </c>
      <c r="O28" s="315">
        <f>1/(1+'[92]Asumsi I'!$C$3)^(KKF!A28)</f>
        <v>9.2559611679185971E-2</v>
      </c>
      <c r="P28" s="316">
        <f t="shared" ca="1" si="7"/>
        <v>6.9614560574777634E-2</v>
      </c>
      <c r="Q28" s="316">
        <f t="shared" ca="1" si="9"/>
        <v>-35.231662052458042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1.0229365528200001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6.87591085055249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0.75210514944750972</v>
      </c>
      <c r="O29" s="315">
        <f>1/(1+'[92]Asumsi I'!$C$3)^(KKF!A29)</f>
        <v>8.2642510427844609E-2</v>
      </c>
      <c r="P29" s="316">
        <f t="shared" ca="1" si="7"/>
        <v>6.2155857656051451E-2</v>
      </c>
      <c r="Q29" s="316">
        <f t="shared" ca="1" si="9"/>
        <v>-35.16950619480199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1.0229365528200001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6.87591085055249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0.75210514944750972</v>
      </c>
      <c r="O30" s="315">
        <f>1/(1+'[92]Asumsi I'!$C$3)^(KKF!A30)</f>
        <v>7.3787955739146982E-2</v>
      </c>
      <c r="P30" s="316">
        <f t="shared" ca="1" si="7"/>
        <v>5.5496301478617373E-2</v>
      </c>
      <c r="Q30" s="316">
        <f t="shared" ca="1" si="9"/>
        <v>-35.11400989332337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1.0229365528200001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6.87591085055249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0.75210514944750972</v>
      </c>
      <c r="O31" s="315">
        <f>1/(1+'[92]Asumsi I'!$C$3)^(KKF!A31)</f>
        <v>6.5882103338524081E-2</v>
      </c>
      <c r="P31" s="316">
        <f t="shared" ca="1" si="7"/>
        <v>4.9550269177336931E-2</v>
      </c>
      <c r="Q31" s="316">
        <f ca="1">Q30+P31</f>
        <v>-35.064459624146032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1.0229365528200001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6.87591085055249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0.75210514944750972</v>
      </c>
      <c r="O32" s="315">
        <f>1/(1+'[92]Asumsi I'!$C$3)^(KKF!A32)</f>
        <v>5.8823306552253637E-2</v>
      </c>
      <c r="P32" s="316">
        <f t="shared" ca="1" si="7"/>
        <v>4.4241311765479401E-2</v>
      </c>
      <c r="Q32" s="316">
        <f ca="1">Q31+P32</f>
        <v>-35.02021831238055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4" t="s">
        <v>1374</v>
      </c>
      <c r="G33" s="614"/>
      <c r="H33" s="614"/>
      <c r="I33" s="324"/>
      <c r="J33" s="325">
        <f ca="1">SUM(J7:J32)</f>
        <v>226.01852689020967</v>
      </c>
      <c r="K33" s="614" t="s">
        <v>1375</v>
      </c>
      <c r="L33" s="614"/>
      <c r="M33" s="325">
        <f>SUM(M7:M32)</f>
        <v>203.90207200000003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71.959028157371563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0.90214760181605425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-31.268052064625493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-5.2622403243942739E-2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3" priority="1" stopIfTrue="1" operator="greaterThanOrEqual">
      <formula>$F$7</formula>
    </cfRule>
    <cfRule type="cellIs" dxfId="22" priority="2" stopIfTrue="1" operator="lessThan">
      <formula>$F$7</formula>
    </cfRule>
  </conditionalFormatting>
  <conditionalFormatting sqref="Q7:Q32">
    <cfRule type="cellIs" dxfId="21" priority="3" operator="lessThan">
      <formula>0</formula>
    </cfRule>
    <cfRule type="cellIs" dxfId="20" priority="4" operator="lessThan">
      <formula>0</formula>
    </cfRule>
    <cfRule type="cellIs" dxfId="19" priority="5" operator="lessThan">
      <formula>-6395.81</formula>
    </cfRule>
    <cfRule type="cellIs" dxfId="1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90"/>
  <sheetViews>
    <sheetView showGridLines="0" zoomScale="85" zoomScaleNormal="85" zoomScaleSheetLayoutView="70" workbookViewId="0">
      <pane ySplit="13" topLeftCell="A14" activePane="bottomLeft" state="frozen"/>
      <selection activeCell="H1093" sqref="H1093"/>
      <selection pane="bottomLeft" activeCell="C59" sqref="C59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7" t="s">
        <v>1036</v>
      </c>
      <c r="P3" s="617"/>
      <c r="Q3" s="346"/>
      <c r="T3" s="344"/>
      <c r="U3" s="345" t="s">
        <v>1041</v>
      </c>
      <c r="V3" s="344"/>
    </row>
    <row r="4" spans="1:22" ht="18.75">
      <c r="B4" s="618" t="s">
        <v>1023</v>
      </c>
      <c r="C4" s="618"/>
      <c r="D4" s="618"/>
      <c r="E4" s="618"/>
      <c r="F4" s="618"/>
      <c r="G4" s="618"/>
      <c r="H4" s="618"/>
      <c r="I4" s="618"/>
      <c r="J4" s="618"/>
      <c r="K4" s="618"/>
      <c r="O4" s="617"/>
      <c r="P4" s="61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4" t="str">
        <f>DATA!D14</f>
        <v>KSPPS PONTREN</v>
      </c>
      <c r="H6" s="635"/>
      <c r="I6" s="635"/>
      <c r="J6" s="635"/>
      <c r="K6" s="635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1623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20" t="s">
        <v>0</v>
      </c>
      <c r="C11" s="622" t="s">
        <v>1</v>
      </c>
      <c r="D11" s="625" t="s">
        <v>42</v>
      </c>
      <c r="E11" s="625" t="s">
        <v>43</v>
      </c>
      <c r="F11" s="625" t="s">
        <v>2</v>
      </c>
      <c r="G11" s="627" t="s">
        <v>41</v>
      </c>
      <c r="H11" s="625" t="s">
        <v>3</v>
      </c>
      <c r="I11" s="625"/>
      <c r="J11" s="625"/>
      <c r="K11" s="645"/>
      <c r="O11" s="351"/>
      <c r="P11" s="352"/>
      <c r="Q11" s="351"/>
      <c r="S11" s="353"/>
      <c r="T11" s="354"/>
      <c r="U11" s="354"/>
      <c r="V11" s="354"/>
    </row>
    <row r="12" spans="1:22">
      <c r="B12" s="621"/>
      <c r="C12" s="623"/>
      <c r="D12" s="626"/>
      <c r="E12" s="626"/>
      <c r="F12" s="626"/>
      <c r="G12" s="628"/>
      <c r="H12" s="630" t="s">
        <v>46</v>
      </c>
      <c r="I12" s="630" t="s">
        <v>5</v>
      </c>
      <c r="J12" s="626" t="s">
        <v>47</v>
      </c>
      <c r="K12" s="646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21"/>
      <c r="C13" s="624"/>
      <c r="D13" s="626"/>
      <c r="E13" s="626"/>
      <c r="F13" s="626"/>
      <c r="G13" s="629"/>
      <c r="H13" s="631"/>
      <c r="I13" s="631"/>
      <c r="J13" s="626"/>
      <c r="K13" s="646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8"/>
      <c r="C15" s="499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1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500" t="s">
        <v>480</v>
      </c>
      <c r="C16" s="497" t="s">
        <v>1613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1" ca="1" si="8">IF(OR(D16="MDU",D16="MDU-KD"),(IF($O$3="RAB NON MDU","PLN KD",G16*F16)),0)</f>
        <v>0</v>
      </c>
      <c r="I16" s="361">
        <f t="shared" ref="I16:I21" ca="1" si="9">IF(D16="HDW",G16*F16,0)</f>
        <v>0</v>
      </c>
      <c r="J16" s="361">
        <f t="shared" ref="J16:J21" ca="1" si="10">IF(D16="JASA",G16*F16,0)</f>
        <v>0</v>
      </c>
      <c r="K16" s="362">
        <f t="shared" ref="K16:K21" ca="1" si="11">SUM(H16:J16)</f>
        <v>0</v>
      </c>
    </row>
    <row r="17" spans="2:11">
      <c r="B17" s="486" t="s">
        <v>1035</v>
      </c>
      <c r="C17" s="487" t="s">
        <v>1624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19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>
      <c r="B18" s="517">
        <v>1</v>
      </c>
      <c r="C18" s="490" t="s">
        <v>482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19">
        <f>F17*1</f>
        <v>1</v>
      </c>
      <c r="G18" s="360">
        <f ca="1">IF(ISERROR(OFFSET('HARGA SATUAN'!$I$6,MATCH(RAB!C18,'HARGA SATUAN'!$C$7:$C$1492,0),0)),0,OFFSET('HARGA SATUAN'!$I$6,MATCH(RAB!C18,'HARGA SATUAN'!$C$7:$C$1492,0),0))</f>
        <v>327600</v>
      </c>
      <c r="H18" s="361">
        <f t="shared" ca="1" si="8"/>
        <v>327600</v>
      </c>
      <c r="I18" s="361">
        <f t="shared" ca="1" si="9"/>
        <v>0</v>
      </c>
      <c r="J18" s="361">
        <f t="shared" ca="1" si="10"/>
        <v>0</v>
      </c>
      <c r="K18" s="362">
        <f t="shared" ca="1" si="11"/>
        <v>327600</v>
      </c>
    </row>
    <row r="19" spans="2:11">
      <c r="B19" s="517">
        <v>2</v>
      </c>
      <c r="C19" s="518" t="s">
        <v>493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Bh</v>
      </c>
      <c r="F19" s="519">
        <f>F17*1</f>
        <v>1</v>
      </c>
      <c r="G19" s="360">
        <f ca="1">IF(ISERROR(OFFSET('HARGA SATUAN'!$I$6,MATCH(RAB!C19,'HARGA SATUAN'!$C$7:$C$1492,0),0)),0,OFFSET('HARGA SATUAN'!$I$6,MATCH(RAB!C19,'HARGA SATUAN'!$C$7:$C$1492,0),0))</f>
        <v>39000</v>
      </c>
      <c r="H19" s="361">
        <f t="shared" ca="1" si="8"/>
        <v>39000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39000</v>
      </c>
    </row>
    <row r="20" spans="2:11">
      <c r="B20" s="517">
        <v>3</v>
      </c>
      <c r="C20" s="518" t="s">
        <v>74</v>
      </c>
      <c r="D20" s="358" t="str">
        <f ca="1">IF(ISERROR(OFFSET('HARGA SATUAN'!$D$6,MATCH(RAB!C20,'HARGA SATUAN'!$C$7:$C$1492,0),0)),"",OFFSET('HARGA SATUAN'!$D$6,MATCH(RAB!C20,'HARGA SATUAN'!$C$7:$C$1492,0),0))</f>
        <v>MDU-KD</v>
      </c>
      <c r="E20" s="359" t="str">
        <f ca="1">IF(B20="+","Unit",IF(ISERROR(OFFSET('HARGA SATUAN'!$E$6,MATCH(RAB!C20,'HARGA SATUAN'!$C$7:$C$1492,0),0)),"",OFFSET('HARGA SATUAN'!$E$6,MATCH(RAB!C20,'HARGA SATUAN'!$C$7:$C$1492,0),0)))</f>
        <v>Mtr</v>
      </c>
      <c r="F20" s="519">
        <f>F17*35</f>
        <v>35</v>
      </c>
      <c r="G20" s="360">
        <f ca="1">IF(ISERROR(OFFSET('HARGA SATUAN'!$I$6,MATCH(RAB!C20,'HARGA SATUAN'!$C$7:$C$1492,0),0)),0,OFFSET('HARGA SATUAN'!$I$6,MATCH(RAB!C20,'HARGA SATUAN'!$C$7:$C$1492,0),0))</f>
        <v>6600</v>
      </c>
      <c r="H20" s="361">
        <f t="shared" ca="1" si="8"/>
        <v>231000</v>
      </c>
      <c r="I20" s="361">
        <f t="shared" ca="1" si="9"/>
        <v>0</v>
      </c>
      <c r="J20" s="361">
        <f t="shared" ca="1" si="10"/>
        <v>0</v>
      </c>
      <c r="K20" s="362">
        <f t="shared" ca="1" si="11"/>
        <v>231000</v>
      </c>
    </row>
    <row r="21" spans="2:11">
      <c r="B21" s="517">
        <v>4</v>
      </c>
      <c r="C21" s="518" t="s">
        <v>798</v>
      </c>
      <c r="D21" s="358" t="str">
        <f ca="1">IF(ISERROR(OFFSET('HARGA SATUAN'!$D$6,MATCH(RAB!C21,'HARGA SATUAN'!$C$7:$C$1492,0),0)),"",OFFSET('HARGA SATUAN'!$D$6,MATCH(RAB!C21,'HARGA SATUAN'!$C$7:$C$1492,0),0))</f>
        <v>JASA</v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19">
        <f>F17*1</f>
        <v>1</v>
      </c>
      <c r="G21" s="360">
        <f ca="1">IF(ISERROR(OFFSET('HARGA SATUAN'!$I$6,MATCH(RAB!C21,'HARGA SATUAN'!$C$7:$C$1492,0),0)),0,OFFSET('HARGA SATUAN'!$I$6,MATCH(RAB!C21,'HARGA SATUAN'!$C$7:$C$1492,0),0))</f>
        <v>54400</v>
      </c>
      <c r="H21" s="361">
        <f t="shared" ca="1" si="8"/>
        <v>0</v>
      </c>
      <c r="I21" s="361">
        <f t="shared" ca="1" si="9"/>
        <v>0</v>
      </c>
      <c r="J21" s="361">
        <f t="shared" ca="1" si="10"/>
        <v>54400</v>
      </c>
      <c r="K21" s="362">
        <f t="shared" ca="1" si="11"/>
        <v>54400</v>
      </c>
    </row>
    <row r="22" spans="2:11">
      <c r="B22" s="486"/>
      <c r="C22" s="487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2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6" ca="1" si="12">IF(OR(D22="MDU",D22="MDU-KD"),(IF($O$3="RAB NON MDU","PLN KD",G22*F22)),0)</f>
        <v>0</v>
      </c>
      <c r="I22" s="361">
        <f t="shared" ref="I22:I36" ca="1" si="13">IF(D22="HDW",G22*F22,0)</f>
        <v>0</v>
      </c>
      <c r="J22" s="361">
        <f t="shared" ref="J22:J36" ca="1" si="14">IF(D22="JASA",G22*F22,0)</f>
        <v>0</v>
      </c>
      <c r="K22" s="362">
        <f t="shared" ref="K22:K36" ca="1" si="15">SUM(H22:J22)</f>
        <v>0</v>
      </c>
    </row>
    <row r="23" spans="2:11">
      <c r="B23" s="500" t="s">
        <v>505</v>
      </c>
      <c r="C23" s="497" t="s">
        <v>1615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4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</row>
    <row r="24" spans="2:11">
      <c r="B24" s="517" t="s">
        <v>1035</v>
      </c>
      <c r="C24" s="520" t="s">
        <v>1625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23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</row>
    <row r="25" spans="2:11">
      <c r="B25" s="517">
        <v>1</v>
      </c>
      <c r="C25" s="505" t="s">
        <v>532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6">
        <f>F24*1</f>
        <v>1</v>
      </c>
      <c r="G25" s="360">
        <f ca="1">IF(ISERROR(OFFSET('HARGA SATUAN'!$I$6,MATCH(RAB!C25,'HARGA SATUAN'!$C$7:$C$1492,0),0)),0,OFFSET('HARGA SATUAN'!$I$6,MATCH(RAB!C25,'HARGA SATUAN'!$C$7:$C$1492,0),0))</f>
        <v>27845400</v>
      </c>
      <c r="H25" s="361">
        <f t="shared" ca="1" si="12"/>
        <v>27845400</v>
      </c>
      <c r="I25" s="361">
        <f t="shared" ca="1" si="13"/>
        <v>0</v>
      </c>
      <c r="J25" s="361">
        <f t="shared" ca="1" si="14"/>
        <v>0</v>
      </c>
      <c r="K25" s="362">
        <f t="shared" ca="1" si="15"/>
        <v>27845400</v>
      </c>
    </row>
    <row r="26" spans="2:11">
      <c r="B26" s="503">
        <v>2</v>
      </c>
      <c r="C26" s="505" t="s">
        <v>1614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506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12"/>
        <v>0</v>
      </c>
      <c r="I26" s="361">
        <f t="shared" ca="1" si="13"/>
        <v>0</v>
      </c>
      <c r="J26" s="361">
        <f t="shared" ca="1" si="14"/>
        <v>0</v>
      </c>
      <c r="K26" s="362">
        <f t="shared" ca="1" si="15"/>
        <v>0</v>
      </c>
    </row>
    <row r="27" spans="2:11">
      <c r="B27" s="503"/>
      <c r="C27" s="505" t="s">
        <v>65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Mtr</v>
      </c>
      <c r="F27" s="506">
        <f>F24*2</f>
        <v>2</v>
      </c>
      <c r="G27" s="360">
        <f ca="1">IF(ISERROR(OFFSET('HARGA SATUAN'!$I$6,MATCH(RAB!C27,'HARGA SATUAN'!$C$7:$C$1492,0),0)),0,OFFSET('HARGA SATUAN'!$I$6,MATCH(RAB!C27,'HARGA SATUAN'!$C$7:$C$1492,0),0))</f>
        <v>14200</v>
      </c>
      <c r="H27" s="361">
        <f t="shared" ca="1" si="12"/>
        <v>28400</v>
      </c>
      <c r="I27" s="361">
        <f t="shared" ca="1" si="13"/>
        <v>0</v>
      </c>
      <c r="J27" s="361">
        <f t="shared" ca="1" si="14"/>
        <v>0</v>
      </c>
      <c r="K27" s="362">
        <f t="shared" ca="1" si="15"/>
        <v>28400</v>
      </c>
    </row>
    <row r="28" spans="2:11">
      <c r="B28" s="517"/>
      <c r="C28" s="505" t="s">
        <v>1626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6">
        <f>F24*2</f>
        <v>2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12"/>
        <v>0</v>
      </c>
      <c r="I28" s="361">
        <f t="shared" ca="1" si="13"/>
        <v>0</v>
      </c>
      <c r="J28" s="361">
        <f t="shared" ca="1" si="14"/>
        <v>0</v>
      </c>
      <c r="K28" s="362">
        <f t="shared" ca="1" si="15"/>
        <v>0</v>
      </c>
    </row>
    <row r="29" spans="2:11">
      <c r="B29" s="517">
        <v>3</v>
      </c>
      <c r="C29" s="505" t="s">
        <v>207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6">
        <f>F24*1</f>
        <v>1</v>
      </c>
      <c r="G29" s="360">
        <f ca="1">IF(ISERROR(OFFSET('HARGA SATUAN'!$I$6,MATCH(RAB!C29,'HARGA SATUAN'!$C$7:$C$1492,0),0)),0,OFFSET('HARGA SATUAN'!$I$6,MATCH(RAB!C29,'HARGA SATUAN'!$C$7:$C$1492,0),0))</f>
        <v>87000</v>
      </c>
      <c r="H29" s="361">
        <f t="shared" ca="1" si="12"/>
        <v>0</v>
      </c>
      <c r="I29" s="361">
        <f t="shared" ca="1" si="13"/>
        <v>87000</v>
      </c>
      <c r="J29" s="361">
        <f t="shared" ca="1" si="14"/>
        <v>0</v>
      </c>
      <c r="K29" s="362">
        <f t="shared" ca="1" si="15"/>
        <v>87000</v>
      </c>
    </row>
    <row r="30" spans="2:11">
      <c r="B30" s="517">
        <v>4</v>
      </c>
      <c r="C30" s="505" t="s">
        <v>176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6">
        <f>F24*2</f>
        <v>2</v>
      </c>
      <c r="G30" s="360">
        <f ca="1">IF(ISERROR(OFFSET('HARGA SATUAN'!$I$6,MATCH(RAB!C30,'HARGA SATUAN'!$C$7:$C$1492,0),0)),0,OFFSET('HARGA SATUAN'!$I$6,MATCH(RAB!C30,'HARGA SATUAN'!$C$7:$C$1492,0),0))</f>
        <v>404600</v>
      </c>
      <c r="H30" s="361">
        <f t="shared" ca="1" si="12"/>
        <v>0</v>
      </c>
      <c r="I30" s="361">
        <f t="shared" ca="1" si="13"/>
        <v>809200</v>
      </c>
      <c r="J30" s="361">
        <f t="shared" ca="1" si="14"/>
        <v>0</v>
      </c>
      <c r="K30" s="362">
        <f t="shared" ca="1" si="15"/>
        <v>809200</v>
      </c>
    </row>
    <row r="31" spans="2:11">
      <c r="B31" s="517">
        <v>5</v>
      </c>
      <c r="C31" s="505" t="s">
        <v>184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6">
        <f>F24*3</f>
        <v>3</v>
      </c>
      <c r="G31" s="360">
        <f ca="1">IF(ISERROR(OFFSET('HARGA SATUAN'!$I$6,MATCH(RAB!C31,'HARGA SATUAN'!$C$7:$C$1492,0),0)),0,OFFSET('HARGA SATUAN'!$I$6,MATCH(RAB!C31,'HARGA SATUAN'!$C$7:$C$1492,0),0))</f>
        <v>15900</v>
      </c>
      <c r="H31" s="361">
        <f t="shared" ca="1" si="12"/>
        <v>0</v>
      </c>
      <c r="I31" s="361">
        <f t="shared" ca="1" si="13"/>
        <v>47700</v>
      </c>
      <c r="J31" s="361">
        <f t="shared" ca="1" si="14"/>
        <v>0</v>
      </c>
      <c r="K31" s="362">
        <f t="shared" ca="1" si="15"/>
        <v>47700</v>
      </c>
    </row>
    <row r="32" spans="2:11">
      <c r="B32" s="517">
        <v>6</v>
      </c>
      <c r="C32" s="505" t="s">
        <v>187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6">
        <f>F24*2</f>
        <v>2</v>
      </c>
      <c r="G32" s="360">
        <f ca="1">IF(ISERROR(OFFSET('HARGA SATUAN'!$I$6,MATCH(RAB!C32,'HARGA SATUAN'!$C$7:$C$1492,0),0)),0,OFFSET('HARGA SATUAN'!$I$6,MATCH(RAB!C32,'HARGA SATUAN'!$C$7:$C$1492,0),0))</f>
        <v>17100</v>
      </c>
      <c r="H32" s="361">
        <f t="shared" ref="H32" ca="1" si="16">IF(OR(D32="MDU",D32="MDU-KD"),(IF($O$3="RAB NON MDU","PLN KD",G32*F32)),0)</f>
        <v>0</v>
      </c>
      <c r="I32" s="361">
        <f t="shared" ref="I32" ca="1" si="17">IF(D32="HDW",G32*F32,0)</f>
        <v>34200</v>
      </c>
      <c r="J32" s="361">
        <f t="shared" ref="J32" ca="1" si="18">IF(D32="JASA",G32*F32,0)</f>
        <v>0</v>
      </c>
      <c r="K32" s="362">
        <f t="shared" ref="K32" ca="1" si="19">SUM(H32:J32)</f>
        <v>34200</v>
      </c>
    </row>
    <row r="33" spans="2:11">
      <c r="B33" s="517">
        <v>7</v>
      </c>
      <c r="C33" s="109" t="s">
        <v>1574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6">
        <v>4</v>
      </c>
      <c r="G33" s="360">
        <f ca="1">IF(ISERROR(OFFSET('HARGA SATUAN'!$I$6,MATCH(RAB!C33,'HARGA SATUAN'!$C$7:$C$1492,0),0)),0,OFFSET('HARGA SATUAN'!$I$6,MATCH(RAB!C33,'HARGA SATUAN'!$C$7:$C$1492,0),0))</f>
        <v>73300</v>
      </c>
      <c r="H33" s="361">
        <f t="shared" ref="H33" ca="1" si="20">IF(OR(D33="MDU",D33="MDU-KD"),(IF($O$3="RAB NON MDU","PLN KD",G33*F33)),0)</f>
        <v>0</v>
      </c>
      <c r="I33" s="361">
        <f t="shared" ref="I33" ca="1" si="21">IF(D33="HDW",G33*F33,0)</f>
        <v>293200</v>
      </c>
      <c r="J33" s="361">
        <f t="shared" ref="J33" ca="1" si="22">IF(D33="JASA",G33*F33,0)</f>
        <v>0</v>
      </c>
      <c r="K33" s="362">
        <f t="shared" ref="K33" ca="1" si="23">SUM(H33:J33)</f>
        <v>293200</v>
      </c>
    </row>
    <row r="34" spans="2:11">
      <c r="B34" s="517">
        <v>8</v>
      </c>
      <c r="C34" s="505" t="s">
        <v>149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Set</v>
      </c>
      <c r="F34" s="506">
        <f>F24*1</f>
        <v>1</v>
      </c>
      <c r="G34" s="360">
        <f ca="1">IF(ISERROR(OFFSET('HARGA SATUAN'!$I$6,MATCH(RAB!C34,'HARGA SATUAN'!$C$7:$C$1492,0),0)),0,OFFSET('HARGA SATUAN'!$I$6,MATCH(RAB!C34,'HARGA SATUAN'!$C$7:$C$1492,0),0))</f>
        <v>67800</v>
      </c>
      <c r="H34" s="361">
        <f t="shared" ca="1" si="12"/>
        <v>0</v>
      </c>
      <c r="I34" s="361">
        <f t="shared" ca="1" si="13"/>
        <v>67800</v>
      </c>
      <c r="J34" s="361">
        <f t="shared" ca="1" si="14"/>
        <v>0</v>
      </c>
      <c r="K34" s="362">
        <f t="shared" ca="1" si="15"/>
        <v>67800</v>
      </c>
    </row>
    <row r="35" spans="2:11">
      <c r="B35" s="517">
        <v>9</v>
      </c>
      <c r="C35" s="505" t="s">
        <v>32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Mtr</v>
      </c>
      <c r="F35" s="506">
        <f>F24*2</f>
        <v>2</v>
      </c>
      <c r="G35" s="360">
        <f ca="1">IF(ISERROR(OFFSET('HARGA SATUAN'!$I$6,MATCH(RAB!C35,'HARGA SATUAN'!$C$7:$C$1492,0),0)),0,OFFSET('HARGA SATUAN'!$I$6,MATCH(RAB!C35,'HARGA SATUAN'!$C$7:$C$1492,0),0))</f>
        <v>30000</v>
      </c>
      <c r="H35" s="361">
        <f t="shared" ca="1" si="12"/>
        <v>0</v>
      </c>
      <c r="I35" s="361">
        <f t="shared" ca="1" si="13"/>
        <v>60000</v>
      </c>
      <c r="J35" s="361">
        <f t="shared" ca="1" si="14"/>
        <v>0</v>
      </c>
      <c r="K35" s="362">
        <f t="shared" ca="1" si="15"/>
        <v>60000</v>
      </c>
    </row>
    <row r="36" spans="2:11">
      <c r="B36" s="517">
        <v>10</v>
      </c>
      <c r="C36" s="505" t="s">
        <v>781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6">
        <f>F24*1</f>
        <v>1</v>
      </c>
      <c r="G36" s="360">
        <f ca="1">IF(ISERROR(OFFSET('HARGA SATUAN'!$I$6,MATCH(RAB!C36,'HARGA SATUAN'!$C$7:$C$1492,0),0)),0,OFFSET('HARGA SATUAN'!$I$6,MATCH(RAB!C36,'HARGA SATUAN'!$C$7:$C$1492,0),0))</f>
        <v>346400</v>
      </c>
      <c r="H36" s="361">
        <f t="shared" ca="1" si="12"/>
        <v>0</v>
      </c>
      <c r="I36" s="361">
        <f t="shared" ca="1" si="13"/>
        <v>0</v>
      </c>
      <c r="J36" s="361">
        <f t="shared" ca="1" si="14"/>
        <v>346400</v>
      </c>
      <c r="K36" s="362">
        <f t="shared" ca="1" si="15"/>
        <v>346400</v>
      </c>
    </row>
    <row r="37" spans="2:11">
      <c r="B37" s="500"/>
      <c r="C37" s="497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1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39" ca="1" si="24">IF(OR(D37="MDU",D37="MDU-KD"),(IF($O$3="RAB NON MDU","PLN KD",G37*F37)),0)</f>
        <v>0</v>
      </c>
      <c r="I37" s="361">
        <f t="shared" ref="I37:I39" ca="1" si="25">IF(D37="HDW",G37*F37,0)</f>
        <v>0</v>
      </c>
      <c r="J37" s="361">
        <f t="shared" ref="J37:J39" ca="1" si="26">IF(D37="JASA",G37*F37,0)</f>
        <v>0</v>
      </c>
      <c r="K37" s="362">
        <f t="shared" ref="K37:K39" ca="1" si="27">SUM(H37:J37)</f>
        <v>0</v>
      </c>
    </row>
    <row r="38" spans="2:11">
      <c r="B38" s="500" t="s">
        <v>524</v>
      </c>
      <c r="C38" s="497" t="s">
        <v>1612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501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24"/>
        <v>0</v>
      </c>
      <c r="I38" s="361">
        <f t="shared" ca="1" si="25"/>
        <v>0</v>
      </c>
      <c r="J38" s="361">
        <f t="shared" ca="1" si="26"/>
        <v>0</v>
      </c>
      <c r="K38" s="362">
        <f t="shared" ca="1" si="27"/>
        <v>0</v>
      </c>
    </row>
    <row r="39" spans="2:11">
      <c r="B39" s="507">
        <v>1</v>
      </c>
      <c r="C39" s="109" t="s">
        <v>1402</v>
      </c>
      <c r="D39" s="358" t="str">
        <f ca="1">IF(ISERROR(OFFSET('HARGA SATUAN'!$D$6,MATCH(RAB!C39,'HARGA SATUAN'!$C$7:$C$1492,0),0)),"",OFFSET('HARGA SATUAN'!$D$6,MATCH(RAB!C39,'HARGA SATUAN'!$C$7:$C$1492,0),0))</f>
        <v>MDU-KD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501">
        <f>55*4</f>
        <v>220</v>
      </c>
      <c r="G39" s="360">
        <f ca="1">IF(ISERROR(OFFSET('HARGA SATUAN'!$I$6,MATCH(RAB!C39,'HARGA SATUAN'!$C$7:$C$1492,0),0)),0,OFFSET('HARGA SATUAN'!$I$6,MATCH(RAB!C39,'HARGA SATUAN'!$C$7:$C$1492,0),0))</f>
        <v>53300</v>
      </c>
      <c r="H39" s="361">
        <f t="shared" ca="1" si="24"/>
        <v>11726000</v>
      </c>
      <c r="I39" s="361">
        <f t="shared" ca="1" si="25"/>
        <v>0</v>
      </c>
      <c r="J39" s="361">
        <f t="shared" ca="1" si="26"/>
        <v>0</v>
      </c>
      <c r="K39" s="362">
        <f t="shared" ca="1" si="27"/>
        <v>11726000</v>
      </c>
    </row>
    <row r="40" spans="2:11">
      <c r="B40" s="507">
        <v>2</v>
      </c>
      <c r="C40" s="109" t="s">
        <v>347</v>
      </c>
      <c r="D40" s="358" t="str">
        <f ca="1">IF(ISERROR(OFFSET('HARGA SATUAN'!$D$6,MATCH(RAB!C40,'HARGA SATUAN'!$C$7:$C$1492,0),0)),"",OFFSET('HARGA SATUAN'!$D$6,MATCH(RAB!C40,'HARGA SATUAN'!$C$7:$C$1492,0),0))</f>
        <v>JASA</v>
      </c>
      <c r="E40" s="359" t="str">
        <f ca="1">IF(B40="+","Unit",IF(ISERROR(OFFSET('HARGA SATUAN'!$E$6,MATCH(RAB!C40,'HARGA SATUAN'!$C$7:$C$1492,0),0)),"",OFFSET('HARGA SATUAN'!$E$6,MATCH(RAB!C40,'HARGA SATUAN'!$C$7:$C$1492,0),0)))</f>
        <v>Per 50 m</v>
      </c>
      <c r="F40" s="501">
        <v>4</v>
      </c>
      <c r="G40" s="360">
        <f ca="1">IF(ISERROR(OFFSET('HARGA SATUAN'!$I$6,MATCH(RAB!C40,'HARGA SATUAN'!$C$7:$C$1492,0),0)),0,OFFSET('HARGA SATUAN'!$I$6,MATCH(RAB!C40,'HARGA SATUAN'!$C$7:$C$1492,0),0))</f>
        <v>179000</v>
      </c>
      <c r="H40" s="361">
        <f t="shared" ref="H40:H47" ca="1" si="28">IF(OR(D40="MDU",D40="MDU-KD"),(IF($O$3="RAB NON MDU","PLN KD",G40*F40)),0)</f>
        <v>0</v>
      </c>
      <c r="I40" s="361">
        <f t="shared" ref="I40:I47" ca="1" si="29">IF(D40="HDW",G40*F40,0)</f>
        <v>0</v>
      </c>
      <c r="J40" s="361">
        <f t="shared" ref="J40:J47" ca="1" si="30">IF(D40="JASA",G40*F40,0)</f>
        <v>716000</v>
      </c>
      <c r="K40" s="362">
        <f t="shared" ref="K40:K47" ca="1" si="31">SUM(H40:J40)</f>
        <v>716000</v>
      </c>
    </row>
    <row r="41" spans="2:11">
      <c r="B41" s="507"/>
      <c r="C41" s="109"/>
      <c r="D41" s="358"/>
      <c r="E41" s="359"/>
      <c r="F41" s="501"/>
      <c r="G41" s="360"/>
      <c r="H41" s="361"/>
      <c r="I41" s="361"/>
      <c r="J41" s="361"/>
      <c r="K41" s="362"/>
    </row>
    <row r="42" spans="2:11">
      <c r="B42" s="515" t="s">
        <v>1035</v>
      </c>
      <c r="C42" s="516" t="s">
        <v>1620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1">
        <v>2</v>
      </c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8"/>
        <v>0</v>
      </c>
      <c r="I42" s="361">
        <f t="shared" ca="1" si="29"/>
        <v>0</v>
      </c>
      <c r="J42" s="361">
        <f t="shared" ca="1" si="30"/>
        <v>0</v>
      </c>
      <c r="K42" s="362">
        <f t="shared" ca="1" si="31"/>
        <v>0</v>
      </c>
    </row>
    <row r="43" spans="2:11">
      <c r="B43" s="515">
        <v>1</v>
      </c>
      <c r="C43" s="516" t="s">
        <v>595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F42*1</f>
        <v>2</v>
      </c>
      <c r="G43" s="360">
        <f ca="1">IF(ISERROR(OFFSET('HARGA SATUAN'!$I$6,MATCH(RAB!C43,'HARGA SATUAN'!$C$7:$C$1492,0),0)),0,OFFSET('HARGA SATUAN'!$I$6,MATCH(RAB!C43,'HARGA SATUAN'!$C$7:$C$1492,0),0))</f>
        <v>78500</v>
      </c>
      <c r="H43" s="361">
        <f t="shared" ca="1" si="28"/>
        <v>0</v>
      </c>
      <c r="I43" s="361">
        <f t="shared" ca="1" si="29"/>
        <v>157000</v>
      </c>
      <c r="J43" s="361">
        <f t="shared" ca="1" si="30"/>
        <v>0</v>
      </c>
      <c r="K43" s="362">
        <f t="shared" ca="1" si="31"/>
        <v>157000</v>
      </c>
    </row>
    <row r="44" spans="2:11">
      <c r="B44" s="515">
        <v>2</v>
      </c>
      <c r="C44" s="516" t="s">
        <v>229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1">
        <f>F42*1</f>
        <v>2</v>
      </c>
      <c r="G44" s="360">
        <f ca="1">IF(ISERROR(OFFSET('HARGA SATUAN'!$I$6,MATCH(RAB!C44,'HARGA SATUAN'!$C$7:$C$1492,0),0)),0,OFFSET('HARGA SATUAN'!$I$6,MATCH(RAB!C44,'HARGA SATUAN'!$C$7:$C$1492,0),0))</f>
        <v>4212</v>
      </c>
      <c r="H44" s="361">
        <f t="shared" ca="1" si="28"/>
        <v>0</v>
      </c>
      <c r="I44" s="361">
        <f t="shared" ca="1" si="29"/>
        <v>8424</v>
      </c>
      <c r="J44" s="361">
        <f t="shared" ca="1" si="30"/>
        <v>0</v>
      </c>
      <c r="K44" s="362">
        <f t="shared" ca="1" si="31"/>
        <v>8424</v>
      </c>
    </row>
    <row r="45" spans="2:11">
      <c r="B45" s="515">
        <v>3</v>
      </c>
      <c r="C45" s="516" t="s">
        <v>266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501">
        <f>F42*1</f>
        <v>2</v>
      </c>
      <c r="G45" s="360">
        <f ca="1">IF(ISERROR(OFFSET('HARGA SATUAN'!$I$6,MATCH(RAB!C45,'HARGA SATUAN'!$C$7:$C$1492,0),0)),0,OFFSET('HARGA SATUAN'!$I$6,MATCH(RAB!C45,'HARGA SATUAN'!$C$7:$C$1492,0),0))</f>
        <v>23310</v>
      </c>
      <c r="H45" s="361">
        <f t="shared" ca="1" si="28"/>
        <v>0</v>
      </c>
      <c r="I45" s="361">
        <f t="shared" ca="1" si="29"/>
        <v>46620</v>
      </c>
      <c r="J45" s="361">
        <f t="shared" ca="1" si="30"/>
        <v>0</v>
      </c>
      <c r="K45" s="362">
        <f t="shared" ca="1" si="31"/>
        <v>46620</v>
      </c>
    </row>
    <row r="46" spans="2:11">
      <c r="B46" s="515">
        <v>4</v>
      </c>
      <c r="C46" s="516" t="s">
        <v>35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f>F42*1</f>
        <v>2</v>
      </c>
      <c r="G46" s="360">
        <f ca="1">IF(ISERROR(OFFSET('HARGA SATUAN'!$I$6,MATCH(RAB!C46,'HARGA SATUAN'!$C$7:$C$1492,0),0)),0,OFFSET('HARGA SATUAN'!$I$6,MATCH(RAB!C46,'HARGA SATUAN'!$C$7:$C$1492,0),0))</f>
        <v>2300</v>
      </c>
      <c r="H46" s="361">
        <f t="shared" ca="1" si="28"/>
        <v>0</v>
      </c>
      <c r="I46" s="361">
        <f t="shared" ca="1" si="29"/>
        <v>4600</v>
      </c>
      <c r="J46" s="361">
        <f t="shared" ca="1" si="30"/>
        <v>0</v>
      </c>
      <c r="K46" s="362">
        <f t="shared" ca="1" si="31"/>
        <v>4600</v>
      </c>
    </row>
    <row r="47" spans="2:11">
      <c r="B47" s="515">
        <v>5</v>
      </c>
      <c r="C47" s="516" t="s">
        <v>630</v>
      </c>
      <c r="D47" s="358" t="str">
        <f ca="1">IF(ISERROR(OFFSET('HARGA SATUAN'!$D$6,MATCH(RAB!C47,'HARGA SATUAN'!$C$7:$C$1492,0),0)),"",OFFSET('HARGA SATUAN'!$D$6,MATCH(RAB!C47,'HARGA SATUAN'!$C$7:$C$1492,0),0))</f>
        <v>JASA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501">
        <f>F42*1</f>
        <v>2</v>
      </c>
      <c r="G47" s="360">
        <f ca="1">IF(ISERROR(OFFSET('HARGA SATUAN'!$I$6,MATCH(RAB!C47,'HARGA SATUAN'!$C$7:$C$1492,0),0)),0,OFFSET('HARGA SATUAN'!$I$6,MATCH(RAB!C47,'HARGA SATUAN'!$C$7:$C$1492,0),0))</f>
        <v>35700</v>
      </c>
      <c r="H47" s="361">
        <f t="shared" ca="1" si="28"/>
        <v>0</v>
      </c>
      <c r="I47" s="361">
        <f t="shared" ca="1" si="29"/>
        <v>0</v>
      </c>
      <c r="J47" s="361">
        <f t="shared" ca="1" si="30"/>
        <v>71400</v>
      </c>
      <c r="K47" s="362">
        <f t="shared" ca="1" si="31"/>
        <v>71400</v>
      </c>
    </row>
    <row r="48" spans="2:11">
      <c r="B48" s="507"/>
      <c r="C48" s="109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1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ref="H48:H55" ca="1" si="32">IF(OR(D48="MDU",D48="MDU-KD"),(IF($O$3="RAB NON MDU","PLN KD",G48*F48)),0)</f>
        <v>0</v>
      </c>
      <c r="I48" s="361">
        <f t="shared" ref="I48:I55" ca="1" si="33">IF(D48="HDW",G48*F48,0)</f>
        <v>0</v>
      </c>
      <c r="J48" s="361">
        <f t="shared" ref="J48:J55" ca="1" si="34">IF(D48="JASA",G48*F48,0)</f>
        <v>0</v>
      </c>
      <c r="K48" s="362">
        <f t="shared" ref="K48:K55" ca="1" si="35">SUM(H48:J48)</f>
        <v>0</v>
      </c>
    </row>
    <row r="49" spans="2:11">
      <c r="B49" s="517" t="s">
        <v>1035</v>
      </c>
      <c r="C49" s="520" t="s">
        <v>1627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1">
        <v>3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32"/>
        <v>0</v>
      </c>
      <c r="I49" s="361">
        <f t="shared" ca="1" si="33"/>
        <v>0</v>
      </c>
      <c r="J49" s="361">
        <f t="shared" ca="1" si="34"/>
        <v>0</v>
      </c>
      <c r="K49" s="362">
        <f t="shared" ca="1" si="35"/>
        <v>0</v>
      </c>
    </row>
    <row r="50" spans="2:11">
      <c r="B50" s="517">
        <v>1</v>
      </c>
      <c r="C50" s="520" t="s">
        <v>229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F49*1</f>
        <v>3</v>
      </c>
      <c r="G50" s="360">
        <f ca="1">IF(ISERROR(OFFSET('HARGA SATUAN'!$I$6,MATCH(RAB!C50,'HARGA SATUAN'!$C$7:$C$1492,0),0)),0,OFFSET('HARGA SATUAN'!$I$6,MATCH(RAB!C50,'HARGA SATUAN'!$C$7:$C$1492,0),0))</f>
        <v>4212</v>
      </c>
      <c r="H50" s="361">
        <f t="shared" ca="1" si="32"/>
        <v>0</v>
      </c>
      <c r="I50" s="361">
        <f t="shared" ca="1" si="33"/>
        <v>12636</v>
      </c>
      <c r="J50" s="361">
        <f t="shared" ca="1" si="34"/>
        <v>0</v>
      </c>
      <c r="K50" s="362">
        <f t="shared" ca="1" si="35"/>
        <v>12636</v>
      </c>
    </row>
    <row r="51" spans="2:11">
      <c r="B51" s="517">
        <v>2</v>
      </c>
      <c r="C51" s="520" t="s">
        <v>266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Mtr</v>
      </c>
      <c r="F51" s="501">
        <f>F49*1</f>
        <v>3</v>
      </c>
      <c r="G51" s="360">
        <f ca="1">IF(ISERROR(OFFSET('HARGA SATUAN'!$I$6,MATCH(RAB!C51,'HARGA SATUAN'!$C$7:$C$1492,0),0)),0,OFFSET('HARGA SATUAN'!$I$6,MATCH(RAB!C51,'HARGA SATUAN'!$C$7:$C$1492,0),0))</f>
        <v>23310</v>
      </c>
      <c r="H51" s="361">
        <f t="shared" ca="1" si="32"/>
        <v>0</v>
      </c>
      <c r="I51" s="361">
        <f t="shared" ca="1" si="33"/>
        <v>69930</v>
      </c>
      <c r="J51" s="361">
        <f t="shared" ca="1" si="34"/>
        <v>0</v>
      </c>
      <c r="K51" s="362">
        <f t="shared" ca="1" si="35"/>
        <v>69930</v>
      </c>
    </row>
    <row r="52" spans="2:11">
      <c r="B52" s="517">
        <v>3</v>
      </c>
      <c r="C52" s="520" t="s">
        <v>35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F49*1</f>
        <v>3</v>
      </c>
      <c r="G52" s="360">
        <f ca="1">IF(ISERROR(OFFSET('HARGA SATUAN'!$I$6,MATCH(RAB!C52,'HARGA SATUAN'!$C$7:$C$1492,0),0)),0,OFFSET('HARGA SATUAN'!$I$6,MATCH(RAB!C52,'HARGA SATUAN'!$C$7:$C$1492,0),0))</f>
        <v>2300</v>
      </c>
      <c r="H52" s="361">
        <f t="shared" ca="1" si="32"/>
        <v>0</v>
      </c>
      <c r="I52" s="361">
        <f t="shared" ca="1" si="33"/>
        <v>6900</v>
      </c>
      <c r="J52" s="361">
        <f t="shared" ca="1" si="34"/>
        <v>0</v>
      </c>
      <c r="K52" s="362">
        <f t="shared" ca="1" si="35"/>
        <v>6900</v>
      </c>
    </row>
    <row r="53" spans="2:11">
      <c r="B53" s="517">
        <v>4</v>
      </c>
      <c r="C53" s="520" t="s">
        <v>609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F49*1</f>
        <v>3</v>
      </c>
      <c r="G53" s="360">
        <f ca="1">IF(ISERROR(OFFSET('HARGA SATUAN'!$I$6,MATCH(RAB!C53,'HARGA SATUAN'!$C$7:$C$1492,0),0)),0,OFFSET('HARGA SATUAN'!$I$6,MATCH(RAB!C53,'HARGA SATUAN'!$C$7:$C$1492,0),0))</f>
        <v>71000</v>
      </c>
      <c r="H53" s="361">
        <f t="shared" ca="1" si="32"/>
        <v>0</v>
      </c>
      <c r="I53" s="361">
        <f t="shared" ca="1" si="33"/>
        <v>213000</v>
      </c>
      <c r="J53" s="361">
        <f t="shared" ca="1" si="34"/>
        <v>0</v>
      </c>
      <c r="K53" s="362">
        <f t="shared" ca="1" si="35"/>
        <v>213000</v>
      </c>
    </row>
    <row r="54" spans="2:11">
      <c r="B54" s="517">
        <v>5</v>
      </c>
      <c r="C54" s="520" t="s">
        <v>629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1">
        <f>F49*1</f>
        <v>3</v>
      </c>
      <c r="G54" s="360">
        <f ca="1">IF(ISERROR(OFFSET('HARGA SATUAN'!$I$6,MATCH(RAB!C54,'HARGA SATUAN'!$C$7:$C$1492,0),0)),0,OFFSET('HARGA SATUAN'!$I$6,MATCH(RAB!C54,'HARGA SATUAN'!$C$7:$C$1492,0),0))</f>
        <v>29400</v>
      </c>
      <c r="H54" s="361">
        <f t="shared" ca="1" si="32"/>
        <v>0</v>
      </c>
      <c r="I54" s="361">
        <f t="shared" ca="1" si="33"/>
        <v>0</v>
      </c>
      <c r="J54" s="361">
        <f t="shared" ca="1" si="34"/>
        <v>88200</v>
      </c>
      <c r="K54" s="362">
        <f t="shared" ca="1" si="35"/>
        <v>88200</v>
      </c>
    </row>
    <row r="55" spans="2:11">
      <c r="B55" s="507"/>
      <c r="C55" s="109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32"/>
        <v>0</v>
      </c>
      <c r="I55" s="361">
        <f t="shared" ca="1" si="33"/>
        <v>0</v>
      </c>
      <c r="J55" s="361">
        <f t="shared" ca="1" si="34"/>
        <v>0</v>
      </c>
      <c r="K55" s="362">
        <f t="shared" ca="1" si="35"/>
        <v>0</v>
      </c>
    </row>
    <row r="56" spans="2:11">
      <c r="B56" s="500" t="s">
        <v>526</v>
      </c>
      <c r="C56" s="497" t="s">
        <v>1617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01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ref="H56" ca="1" si="36">IF(OR(D56="MDU",D56="MDU-KD"),(IF($O$3="RAB NON MDU","PLN KD",G56*F56)),0)</f>
        <v>0</v>
      </c>
      <c r="I56" s="361">
        <f t="shared" ref="I56" ca="1" si="37">IF(D56="HDW",G56*F56,0)</f>
        <v>0</v>
      </c>
      <c r="J56" s="361">
        <f t="shared" ref="J56" ca="1" si="38">IF(D56="JASA",G56*F56,0)</f>
        <v>0</v>
      </c>
      <c r="K56" s="362">
        <f t="shared" ref="K56" ca="1" si="39">SUM(H56:J56)</f>
        <v>0</v>
      </c>
    </row>
    <row r="57" spans="2:11">
      <c r="B57" s="503" t="s">
        <v>1035</v>
      </c>
      <c r="C57" s="513" t="s">
        <v>1618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01">
        <v>2</v>
      </c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ref="H57:H68" ca="1" si="40">IF(OR(D57="MDU",D57="MDU-KD"),(IF($O$3="RAB NON MDU","PLN KD",G57*F57)),0)</f>
        <v>0</v>
      </c>
      <c r="I57" s="361">
        <f t="shared" ref="I57:I68" ca="1" si="41">IF(D57="HDW",G57*F57,0)</f>
        <v>0</v>
      </c>
      <c r="J57" s="361">
        <f t="shared" ref="J57:J68" ca="1" si="42">IF(D57="JASA",G57*F57,0)</f>
        <v>0</v>
      </c>
      <c r="K57" s="362">
        <f t="shared" ref="K57:K68" ca="1" si="43">SUM(H57:J57)</f>
        <v>0</v>
      </c>
    </row>
    <row r="58" spans="2:11">
      <c r="B58" s="503">
        <v>1</v>
      </c>
      <c r="C58" s="512" t="s">
        <v>29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F57*1</f>
        <v>2</v>
      </c>
      <c r="G58" s="360">
        <f ca="1">IF(ISERROR(OFFSET('HARGA SATUAN'!$I$6,MATCH(RAB!C58,'HARGA SATUAN'!$C$7:$C$1492,0),0)),0,OFFSET('HARGA SATUAN'!$I$6,MATCH(RAB!C58,'HARGA SATUAN'!$C$7:$C$1492,0),0))</f>
        <v>185200</v>
      </c>
      <c r="H58" s="361">
        <f t="shared" ca="1" si="40"/>
        <v>0</v>
      </c>
      <c r="I58" s="361">
        <f t="shared" ca="1" si="41"/>
        <v>370400</v>
      </c>
      <c r="J58" s="361">
        <f t="shared" ca="1" si="42"/>
        <v>0</v>
      </c>
      <c r="K58" s="362">
        <f t="shared" ca="1" si="43"/>
        <v>370400</v>
      </c>
    </row>
    <row r="59" spans="2:11">
      <c r="B59" s="509">
        <v>2</v>
      </c>
      <c r="C59" s="510" t="s">
        <v>30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1">
        <f>F57*1</f>
        <v>2</v>
      </c>
      <c r="G59" s="360">
        <f ca="1">IF(ISERROR(OFFSET('HARGA SATUAN'!$I$6,MATCH(RAB!C59,'HARGA SATUAN'!$C$7:$C$1492,0),0)),0,OFFSET('HARGA SATUAN'!$I$6,MATCH(RAB!C59,'HARGA SATUAN'!$C$7:$C$1492,0),0))</f>
        <v>47459</v>
      </c>
      <c r="H59" s="361">
        <f t="shared" ca="1" si="40"/>
        <v>0</v>
      </c>
      <c r="I59" s="361">
        <f t="shared" ca="1" si="41"/>
        <v>94918</v>
      </c>
      <c r="J59" s="361">
        <f t="shared" ca="1" si="42"/>
        <v>0</v>
      </c>
      <c r="K59" s="362">
        <f t="shared" ca="1" si="43"/>
        <v>94918</v>
      </c>
    </row>
    <row r="60" spans="2:11">
      <c r="B60" s="509">
        <v>3</v>
      </c>
      <c r="C60" s="510" t="s">
        <v>31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1">
        <f>F57*1</f>
        <v>2</v>
      </c>
      <c r="G60" s="360">
        <f ca="1">IF(ISERROR(OFFSET('HARGA SATUAN'!$I$6,MATCH(RAB!C60,'HARGA SATUAN'!$C$7:$C$1492,0),0)),0,OFFSET('HARGA SATUAN'!$I$6,MATCH(RAB!C60,'HARGA SATUAN'!$C$7:$C$1492,0),0))</f>
        <v>4880</v>
      </c>
      <c r="H60" s="361">
        <f t="shared" ca="1" si="40"/>
        <v>0</v>
      </c>
      <c r="I60" s="361">
        <f t="shared" ca="1" si="41"/>
        <v>9760</v>
      </c>
      <c r="J60" s="361">
        <f t="shared" ca="1" si="42"/>
        <v>0</v>
      </c>
      <c r="K60" s="362">
        <f t="shared" ca="1" si="43"/>
        <v>9760</v>
      </c>
    </row>
    <row r="61" spans="2:11">
      <c r="B61" s="509">
        <v>4</v>
      </c>
      <c r="C61" s="510" t="s">
        <v>32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Mtr</v>
      </c>
      <c r="F61" s="501">
        <f>F57*10</f>
        <v>20</v>
      </c>
      <c r="G61" s="360">
        <f ca="1">IF(ISERROR(OFFSET('HARGA SATUAN'!$I$6,MATCH(RAB!C61,'HARGA SATUAN'!$C$7:$C$1492,0),0)),0,OFFSET('HARGA SATUAN'!$I$6,MATCH(RAB!C61,'HARGA SATUAN'!$C$7:$C$1492,0),0))</f>
        <v>30000</v>
      </c>
      <c r="H61" s="361">
        <f t="shared" ca="1" si="40"/>
        <v>0</v>
      </c>
      <c r="I61" s="361">
        <f t="shared" ca="1" si="41"/>
        <v>600000</v>
      </c>
      <c r="J61" s="361">
        <f t="shared" ca="1" si="42"/>
        <v>0</v>
      </c>
      <c r="K61" s="362">
        <f t="shared" ca="1" si="43"/>
        <v>600000</v>
      </c>
    </row>
    <row r="62" spans="2:11">
      <c r="B62" s="509">
        <v>5</v>
      </c>
      <c r="C62" s="510" t="s">
        <v>33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1">
        <f>F57*2</f>
        <v>4</v>
      </c>
      <c r="G62" s="360">
        <f ca="1">IF(ISERROR(OFFSET('HARGA SATUAN'!$I$6,MATCH(RAB!C62,'HARGA SATUAN'!$C$7:$C$1492,0),0)),0,OFFSET('HARGA SATUAN'!$I$6,MATCH(RAB!C62,'HARGA SATUAN'!$C$7:$C$1492,0),0))</f>
        <v>9500</v>
      </c>
      <c r="H62" s="361">
        <f t="shared" ca="1" si="40"/>
        <v>0</v>
      </c>
      <c r="I62" s="361">
        <f t="shared" ca="1" si="41"/>
        <v>38000</v>
      </c>
      <c r="J62" s="361">
        <f t="shared" ca="1" si="42"/>
        <v>0</v>
      </c>
      <c r="K62" s="362">
        <f t="shared" ca="1" si="43"/>
        <v>38000</v>
      </c>
    </row>
    <row r="63" spans="2:11">
      <c r="B63" s="509">
        <v>6</v>
      </c>
      <c r="C63" s="510" t="s">
        <v>34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1">
        <f>F57*5.5</f>
        <v>11</v>
      </c>
      <c r="G63" s="360">
        <f ca="1">IF(ISERROR(OFFSET('HARGA SATUAN'!$I$6,MATCH(RAB!C63,'HARGA SATUAN'!$C$7:$C$1492,0),0)),0,OFFSET('HARGA SATUAN'!$I$6,MATCH(RAB!C63,'HARGA SATUAN'!$C$7:$C$1492,0),0))</f>
        <v>6100</v>
      </c>
      <c r="H63" s="361">
        <f t="shared" ca="1" si="40"/>
        <v>0</v>
      </c>
      <c r="I63" s="361">
        <f t="shared" ca="1" si="41"/>
        <v>67100</v>
      </c>
      <c r="J63" s="361">
        <f t="shared" ca="1" si="42"/>
        <v>0</v>
      </c>
      <c r="K63" s="362">
        <f t="shared" ca="1" si="43"/>
        <v>67100</v>
      </c>
    </row>
    <row r="64" spans="2:11">
      <c r="B64" s="509">
        <v>7</v>
      </c>
      <c r="C64" s="510" t="s">
        <v>35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1">
        <f>F57*6</f>
        <v>12</v>
      </c>
      <c r="G64" s="360">
        <f ca="1">IF(ISERROR(OFFSET('HARGA SATUAN'!$I$6,MATCH(RAB!C64,'HARGA SATUAN'!$C$7:$C$1492,0),0)),0,OFFSET('HARGA SATUAN'!$I$6,MATCH(RAB!C64,'HARGA SATUAN'!$C$7:$C$1492,0),0))</f>
        <v>2300</v>
      </c>
      <c r="H64" s="361">
        <f t="shared" ca="1" si="40"/>
        <v>0</v>
      </c>
      <c r="I64" s="361">
        <f t="shared" ca="1" si="41"/>
        <v>27600</v>
      </c>
      <c r="J64" s="361">
        <f t="shared" ca="1" si="42"/>
        <v>0</v>
      </c>
      <c r="K64" s="362">
        <f t="shared" ca="1" si="43"/>
        <v>27600</v>
      </c>
    </row>
    <row r="65" spans="2:13">
      <c r="B65" s="509">
        <v>8</v>
      </c>
      <c r="C65" s="510" t="s">
        <v>1619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Mtr</v>
      </c>
      <c r="F65" s="501">
        <f>F57*4.8</f>
        <v>9.6</v>
      </c>
      <c r="G65" s="360">
        <f ca="1">IF(ISERROR(OFFSET('HARGA SATUAN'!$I$6,MATCH(RAB!C65,'HARGA SATUAN'!$C$7:$C$1492,0),0)),0,OFFSET('HARGA SATUAN'!$I$6,MATCH(RAB!C65,'HARGA SATUAN'!$C$7:$C$1492,0),0))</f>
        <v>23310</v>
      </c>
      <c r="H65" s="361">
        <f t="shared" ca="1" si="40"/>
        <v>0</v>
      </c>
      <c r="I65" s="361">
        <f t="shared" ca="1" si="41"/>
        <v>223776</v>
      </c>
      <c r="J65" s="361">
        <f t="shared" ca="1" si="42"/>
        <v>0</v>
      </c>
      <c r="K65" s="362">
        <f t="shared" ca="1" si="43"/>
        <v>223776</v>
      </c>
    </row>
    <row r="66" spans="2:13">
      <c r="B66" s="509">
        <v>9</v>
      </c>
      <c r="C66" s="510" t="s">
        <v>736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501">
        <f>F57*1</f>
        <v>2</v>
      </c>
      <c r="G66" s="360">
        <f ca="1">IF(ISERROR(OFFSET('HARGA SATUAN'!$I$6,MATCH(RAB!C66,'HARGA SATUAN'!$C$7:$C$1492,0),0)),0,OFFSET('HARGA SATUAN'!$I$6,MATCH(RAB!C66,'HARGA SATUAN'!$C$7:$C$1492,0),0))</f>
        <v>65400</v>
      </c>
      <c r="H66" s="361">
        <f t="shared" ca="1" si="40"/>
        <v>0</v>
      </c>
      <c r="I66" s="361">
        <f t="shared" ca="1" si="41"/>
        <v>0</v>
      </c>
      <c r="J66" s="361">
        <f t="shared" ca="1" si="42"/>
        <v>130800</v>
      </c>
      <c r="K66" s="362">
        <f t="shared" ca="1" si="43"/>
        <v>130800</v>
      </c>
    </row>
    <row r="67" spans="2:13">
      <c r="B67" s="509"/>
      <c r="C67" s="510"/>
      <c r="D67" s="358"/>
      <c r="E67" s="359"/>
      <c r="F67" s="501"/>
      <c r="G67" s="360"/>
      <c r="H67" s="361"/>
      <c r="I67" s="361"/>
      <c r="J67" s="361"/>
      <c r="K67" s="362"/>
    </row>
    <row r="68" spans="2:13">
      <c r="B68" s="367"/>
      <c r="C68" s="109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1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40"/>
        <v>0</v>
      </c>
      <c r="I68" s="361">
        <f t="shared" ca="1" si="41"/>
        <v>0</v>
      </c>
      <c r="J68" s="361">
        <f t="shared" ca="1" si="42"/>
        <v>0</v>
      </c>
      <c r="K68" s="362">
        <f t="shared" ca="1" si="43"/>
        <v>0</v>
      </c>
    </row>
    <row r="69" spans="2:13">
      <c r="B69" s="368"/>
      <c r="C69" s="369" t="s">
        <v>475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472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" ca="1" si="44">IF(OR(D69="MDU",D69="MDU-KD"),(IF($O$3="RAB NON MDU","PLN KD",G69*F69)),0)</f>
        <v>0</v>
      </c>
      <c r="I69" s="361">
        <f t="shared" ref="I69" ca="1" si="45">IF(D69="HDW",G69*F69,0)</f>
        <v>0</v>
      </c>
      <c r="J69" s="361">
        <f t="shared" ref="J69" ca="1" si="46">IF(D69="JASA",G69*F69,0)</f>
        <v>0</v>
      </c>
      <c r="K69" s="362">
        <f t="shared" ref="K69" ca="1" si="47">SUM(H69:J69)</f>
        <v>0</v>
      </c>
    </row>
    <row r="70" spans="2:13">
      <c r="B70" s="371">
        <v>1</v>
      </c>
      <c r="C70" s="372" t="s">
        <v>1091</v>
      </c>
      <c r="D70" s="373" t="str">
        <f ca="1">IF(ISERROR(OFFSET('HARGA SATUAN'!$D$6,MATCH(RAB!C70,'HARGA SATUAN'!$C$7:$C$1492,0),0)),"",OFFSET('HARGA SATUAN'!$D$6,MATCH(RAB!C70,'HARGA SATUAN'!$C$7:$C$1492,0),0))</f>
        <v>JASA</v>
      </c>
      <c r="E70" s="374" t="str">
        <f ca="1">IF(ISERROR(OFFSET('HARGA SATUAN'!$E$6,MATCH(RAB!C70,'HARGA SATUAN'!$C$7:$C$1492,0),0)),"",OFFSET('HARGA SATUAN'!$E$6,MATCH(RAB!C70,'HARGA SATUAN'!$C$7:$C$1492,0),0))</f>
        <v>Lot</v>
      </c>
      <c r="F70" s="375">
        <v>1</v>
      </c>
      <c r="G70" s="376">
        <f ca="1">IF(ISERROR(OFFSET('HARGA SATUAN'!$I$6,MATCH(RAB!C70,'HARGA SATUAN'!$C$7:$C$1492,0),0)),0,OFFSET('HARGA SATUAN'!$I$6,MATCH(RAB!C70,'HARGA SATUAN'!$C$7:$C$1492,0),0))</f>
        <v>2.5000000000000001E-2</v>
      </c>
      <c r="H70" s="377"/>
      <c r="I70" s="377"/>
      <c r="J70" s="377">
        <f ca="1">2.5%*(SUM(K14:K69))</f>
        <v>1123859.1000000001</v>
      </c>
      <c r="K70" s="378">
        <f ca="1">SUM(H70:J70)</f>
        <v>1123859.1000000001</v>
      </c>
    </row>
    <row r="71" spans="2:13">
      <c r="B71" s="379"/>
      <c r="C71" s="380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IF(ISERROR(OFFSET('HARGA SATUAN'!$E$6,MATCH(RAB!C71,'HARGA SATUAN'!$C$7:$C$1492,0),0)),"",OFFSET('HARGA SATUAN'!$E$6,MATCH(RAB!C71,'HARGA SATUAN'!$C$7:$C$1492,0),0))</f>
        <v/>
      </c>
      <c r="F71" s="370"/>
      <c r="G71" s="360" t="str">
        <f ca="1">IF(ISERROR(OFFSET('HARGA SATUAN'!$I$6,MATCH(RAB!C71,'HARGA SATUAN'!$C$7:$C$1492,0),0)),"",OFFSET('HARGA SATUAN'!$I$6,MATCH(RAB!C71,'HARGA SATUAN'!$C$7:$C$1492,0),0))</f>
        <v/>
      </c>
      <c r="H71" s="361">
        <f ca="1">IF(OR(D71="MDU",D71="MDU-KD"),IF(G71="PLN",0,G71*F71),0)</f>
        <v>0</v>
      </c>
      <c r="I71" s="361">
        <f ca="1">IF(D71="HDW",IF(G71="PLN",0,G71*F71),0)</f>
        <v>0</v>
      </c>
      <c r="J71" s="361">
        <f ca="1">IF(D71="JASA",IF(G71="PLN",0,G71*F71),0)</f>
        <v>0</v>
      </c>
      <c r="K71" s="362">
        <f ca="1">SUM(H71:J71)</f>
        <v>0</v>
      </c>
    </row>
    <row r="72" spans="2:13" ht="15.75" thickBot="1">
      <c r="B72" s="381"/>
      <c r="C72" s="382"/>
      <c r="D72" s="383"/>
      <c r="E72" s="384"/>
      <c r="F72" s="384"/>
      <c r="G72" s="384"/>
      <c r="H72" s="385"/>
      <c r="I72" s="385"/>
      <c r="J72" s="385"/>
      <c r="K72" s="386"/>
    </row>
    <row r="73" spans="2:13">
      <c r="B73" s="387"/>
      <c r="C73" s="619" t="s">
        <v>1008</v>
      </c>
      <c r="D73" s="619"/>
      <c r="E73" s="619"/>
      <c r="F73" s="619"/>
      <c r="G73" s="388" t="s">
        <v>9</v>
      </c>
      <c r="H73" s="389">
        <f ca="1">SUM(H14:H71)</f>
        <v>40197400</v>
      </c>
      <c r="I73" s="389">
        <f ca="1">SUM(I14:I71)</f>
        <v>3349764</v>
      </c>
      <c r="J73" s="389">
        <f ca="1">SUM(J14:J71)</f>
        <v>2531059.1</v>
      </c>
      <c r="K73" s="389">
        <f ca="1">SUM(K14:K71)</f>
        <v>46078223.100000001</v>
      </c>
    </row>
    <row r="74" spans="2:13">
      <c r="B74" s="390"/>
      <c r="C74" s="636" t="s">
        <v>1457</v>
      </c>
      <c r="D74" s="636"/>
      <c r="E74" s="636"/>
      <c r="F74" s="636"/>
      <c r="G74" s="391" t="s">
        <v>9</v>
      </c>
      <c r="H74" s="392">
        <f ca="1">H73*0.11</f>
        <v>4421714</v>
      </c>
      <c r="I74" s="392">
        <f ca="1">I73*0.11</f>
        <v>368474.04</v>
      </c>
      <c r="J74" s="392">
        <f ca="1">J73*0.11</f>
        <v>278416.50099999999</v>
      </c>
      <c r="K74" s="392">
        <f ca="1">K73*0.11</f>
        <v>5068604.5410000002</v>
      </c>
    </row>
    <row r="75" spans="2:13" ht="15.75" thickBot="1">
      <c r="B75" s="390"/>
      <c r="C75" s="633" t="s">
        <v>463</v>
      </c>
      <c r="D75" s="633"/>
      <c r="E75" s="633"/>
      <c r="F75" s="633"/>
      <c r="G75" s="393" t="s">
        <v>9</v>
      </c>
      <c r="H75" s="394">
        <f ca="1">SUM(H73:H74)</f>
        <v>44619114</v>
      </c>
      <c r="I75" s="394">
        <f ca="1">SUM(I73:I74)</f>
        <v>3718238.04</v>
      </c>
      <c r="J75" s="393">
        <f ca="1">SUM(J73:J74)</f>
        <v>2809475.6010000003</v>
      </c>
      <c r="K75" s="393">
        <f ca="1">SUM(K73:K74)</f>
        <v>51146827.641000003</v>
      </c>
      <c r="M75" s="477"/>
    </row>
    <row r="76" spans="2:13">
      <c r="B76" s="637" t="str">
        <f ca="1">"Terbilang : "&amp;PROPER(IF(K75=0,"nol",IF(K75&lt;0,"minus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IF(--MID(TEXT(ABS(K75),"000000000000000"),1,3)=0,"",MID(TEXT(ABS(K75),"000000000000000"),1,1)&amp;" ratus "&amp;MID(TEXT(ABS(K75),"000000000000000"),2,1)&amp;" puluh "&amp;MID(TEXT(ABS(K75),"000000000000000"),3,1)&amp;" trilyun ")&amp; IF(--MID(TEXT(ABS(K75),"000000000000000"),4,3)=0,"",MID(TEXT(ABS(K75),"000000000000000"),4,1)&amp;" ratus "&amp;MID(TEXT(ABS(K75),"000000000000000"),5,1)&amp;" puluh "&amp;MID(TEXT(ABS(K75),"000000000000000"),6,1)&amp;" milyar ")&amp; IF(--MID(TEXT(ABS(K75),"000000000000000"),7,3)=0,"",MID(TEXT(ABS(K75),"000000000000000"),7,1)&amp;" ratus "&amp;MID(TEXT(ABS(K75),"000000000000000"),8,1)&amp;" puluh "&amp;MID(TEXT(ABS(K75),"000000000000000"),9,1)&amp;" juta ")&amp; IF(--MID(TEXT(ABS(K75),"000000000000000"),10,3)=0,"",IF(--MID(TEXT(ABS(K75),"000000000000000"),10,3)=1,"*",MID(TEXT(ABS(K75),"000000000000000"),10,1)&amp;" ratus "&amp;MID(TEXT(ABS(K75),"000000000000000"),11,1)&amp;" puluh ")&amp;MID(TEXT(ABS(K75),"000000000000000"),12,1)&amp;" ribu ")&amp; IF(--MID(TEXT(ABS(K75),"000000000000000"),13,3)=0,"",MID(TEXT(ABS(K75),"000000000000000"),13,1)&amp;" ratus "&amp;MID(TEXT(ABS(K75),"000000000000000"),14,1)&amp;" puluh "&amp;MID(TEXT(ABS(K75),"000000000000000"),15,1)),1,"satu"),2,"dua"),3,"tiga"),4,"empat"),5,"lima"),6,"enam"),7,"tujuh"),8,"delapan"),9,"sembilan"),"0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Satu Juta Seratus Empat Puluh Enam Ribu Delapan Ratus Dua Puluh Delapan Rupiah</v>
      </c>
      <c r="C76" s="638"/>
      <c r="D76" s="638"/>
      <c r="E76" s="638"/>
      <c r="F76" s="638"/>
      <c r="G76" s="638"/>
      <c r="H76" s="638"/>
      <c r="I76" s="638"/>
      <c r="J76" s="638"/>
      <c r="K76" s="639"/>
      <c r="M76" s="508"/>
    </row>
    <row r="77" spans="2:13">
      <c r="B77" s="640"/>
      <c r="C77" s="641"/>
      <c r="D77" s="641"/>
      <c r="E77" s="641"/>
      <c r="F77" s="641"/>
      <c r="G77" s="641"/>
      <c r="H77" s="641"/>
      <c r="I77" s="641"/>
      <c r="J77" s="641"/>
      <c r="K77" s="642"/>
    </row>
    <row r="78" spans="2:13" ht="15.75" thickBot="1">
      <c r="B78" s="395" t="str">
        <f>"Harga yang dipakai adalah "&amp;'HARGA SATUAN'!I5&amp;""</f>
        <v>Harga yang dipakai adalah RAB HSS 2023</v>
      </c>
      <c r="C78" s="396"/>
      <c r="D78" s="397"/>
      <c r="E78" s="397"/>
      <c r="F78" s="397"/>
      <c r="G78" s="398"/>
      <c r="H78" s="398"/>
      <c r="I78" s="398"/>
      <c r="J78" s="398"/>
      <c r="K78" s="399"/>
    </row>
    <row r="79" spans="2:13">
      <c r="C79" s="400"/>
      <c r="E79" s="402"/>
      <c r="F79" s="402"/>
      <c r="G79" s="402"/>
    </row>
    <row r="80" spans="2:13">
      <c r="C80" s="337"/>
      <c r="E80" s="402"/>
      <c r="F80" s="402"/>
      <c r="G80" s="402"/>
      <c r="H80" s="643"/>
      <c r="I80" s="643"/>
      <c r="J80" s="644"/>
      <c r="K80" s="644"/>
    </row>
    <row r="81" spans="3:11">
      <c r="C81" s="337"/>
      <c r="E81" s="402"/>
      <c r="F81" s="402"/>
      <c r="G81" s="402"/>
      <c r="H81" s="403"/>
      <c r="I81" s="632" t="s">
        <v>1621</v>
      </c>
      <c r="J81" s="632"/>
      <c r="K81" s="632"/>
    </row>
    <row r="82" spans="3:11">
      <c r="C82" s="337"/>
      <c r="E82" s="402"/>
      <c r="F82" s="402"/>
      <c r="G82" s="402"/>
      <c r="H82" s="403"/>
      <c r="I82" s="632" t="s">
        <v>1609</v>
      </c>
      <c r="J82" s="632"/>
      <c r="K82" s="632"/>
    </row>
    <row r="83" spans="3:11">
      <c r="C83" s="337"/>
      <c r="E83" s="402"/>
      <c r="F83" s="402"/>
      <c r="G83" s="402"/>
      <c r="H83" s="404"/>
      <c r="I83" s="405"/>
      <c r="J83" s="405"/>
      <c r="K83" s="405"/>
    </row>
    <row r="84" spans="3:11">
      <c r="C84" s="337"/>
      <c r="E84" s="402"/>
      <c r="F84" s="402"/>
      <c r="G84" s="402"/>
      <c r="H84" s="404"/>
      <c r="I84" s="404"/>
      <c r="J84" s="404"/>
      <c r="K84" s="404"/>
    </row>
    <row r="85" spans="3:11">
      <c r="C85" s="337"/>
      <c r="E85" s="402"/>
      <c r="F85" s="402"/>
      <c r="G85" s="402"/>
      <c r="H85" s="404"/>
      <c r="I85" s="404"/>
      <c r="J85" s="404"/>
      <c r="K85" s="404"/>
    </row>
    <row r="86" spans="3:11">
      <c r="C86" s="337"/>
      <c r="E86" s="402"/>
      <c r="F86" s="402"/>
      <c r="G86" s="402"/>
      <c r="H86" s="404"/>
      <c r="I86" s="404"/>
      <c r="J86" s="404"/>
      <c r="K86" s="404"/>
    </row>
    <row r="87" spans="3:11">
      <c r="C87" s="337"/>
      <c r="E87" s="402"/>
      <c r="F87" s="402"/>
      <c r="G87" s="402"/>
      <c r="H87" s="406"/>
      <c r="I87" s="632" t="s">
        <v>1611</v>
      </c>
      <c r="J87" s="632"/>
      <c r="K87" s="632"/>
    </row>
    <row r="88" spans="3:11">
      <c r="C88" s="400"/>
      <c r="E88" s="402"/>
      <c r="F88" s="402"/>
      <c r="G88" s="402"/>
      <c r="H88" s="404"/>
      <c r="I88" s="404"/>
      <c r="J88" s="404"/>
      <c r="K88" s="404"/>
    </row>
    <row r="89" spans="3:11">
      <c r="C89" s="400"/>
      <c r="E89" s="402"/>
      <c r="F89" s="402"/>
      <c r="G89" s="402"/>
      <c r="H89" s="404"/>
      <c r="I89" s="404"/>
      <c r="J89" s="404"/>
      <c r="K89" s="404"/>
    </row>
    <row r="90" spans="3:11">
      <c r="C90" s="400"/>
      <c r="E90" s="402"/>
      <c r="F90" s="402"/>
      <c r="G90" s="402"/>
      <c r="H90" s="404"/>
      <c r="I90" s="404"/>
      <c r="J90" s="404"/>
      <c r="K90" s="404"/>
    </row>
  </sheetData>
  <sheetProtection sort="0" autoFilter="0"/>
  <protectedRanges>
    <protectedRange sqref="B68" name="Range1_1"/>
    <protectedRange sqref="F14" name="Range1_1_2_2"/>
    <protectedRange sqref="C68" name="Range1_1_3_12"/>
    <protectedRange sqref="B17:B21" name="Range1_1_4"/>
    <protectedRange sqref="B15:C16 B23:C31 B56:C56 B32:B33 B34:C38" name="Range1_6_2"/>
    <protectedRange sqref="C17 C19:C20" name="Range1_3"/>
    <protectedRange sqref="F16:F68" name="Range1_1_3_1_1"/>
    <protectedRange sqref="F15" name="Range1_1_2_2_3_2"/>
    <protectedRange sqref="B57:B67 B39:B55" name="Range1_6_2_2"/>
    <protectedRange sqref="C67" name="Range1_6_2_2_2_1"/>
    <protectedRange sqref="C57:C66 C42:C55" name="Range1_1_3_2"/>
    <protectedRange sqref="C41" name="Range1_1_3_3"/>
    <protectedRange sqref="C21" name="Range1_1_3_4"/>
    <protectedRange sqref="C32" name="Range1_1_3_5"/>
    <protectedRange sqref="C18" name="Range1_1_3"/>
    <protectedRange sqref="C33" name="Range1_1_3_6"/>
    <protectedRange sqref="C39" name="Range1_1_3_7"/>
    <protectedRange sqref="C40" name="Range1_1_3_8"/>
  </protectedRanges>
  <mergeCells count="22">
    <mergeCell ref="I82:K82"/>
    <mergeCell ref="I87:K87"/>
    <mergeCell ref="C75:F75"/>
    <mergeCell ref="G6:K6"/>
    <mergeCell ref="I81:K81"/>
    <mergeCell ref="C74:F74"/>
    <mergeCell ref="B76:K77"/>
    <mergeCell ref="H80:K80"/>
    <mergeCell ref="H11:K11"/>
    <mergeCell ref="H12:H13"/>
    <mergeCell ref="J12:J13"/>
    <mergeCell ref="K12:K13"/>
    <mergeCell ref="O3:P4"/>
    <mergeCell ref="B4:K4"/>
    <mergeCell ref="C73:F73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E69:K69 F22 F37:F41 F55:F56 G15:K68 E15:E68">
    <cfRule type="cellIs" dxfId="17" priority="111" stopIfTrue="1" operator="equal">
      <formula>0</formula>
    </cfRule>
  </conditionalFormatting>
  <conditionalFormatting sqref="C68 C48 C41 C55">
    <cfRule type="cellIs" dxfId="16" priority="130" operator="equal">
      <formula>0</formula>
    </cfRule>
  </conditionalFormatting>
  <conditionalFormatting sqref="E1:E3 G1:G13 E5:E13 H12:I12 O13 S14:V14 E70:G70 H70:K72 E71:H71 E72:F72">
    <cfRule type="cellIs" dxfId="15" priority="1112" stopIfTrue="1" operator="equal">
      <formula>0</formula>
    </cfRule>
  </conditionalFormatting>
  <conditionalFormatting sqref="E14:K14">
    <cfRule type="cellIs" dxfId="14" priority="80" stopIfTrue="1" operator="equal">
      <formula>0</formula>
    </cfRule>
  </conditionalFormatting>
  <conditionalFormatting sqref="G71:G65537 E76:E65537">
    <cfRule type="cellIs" dxfId="13" priority="246" stopIfTrue="1" operator="equal">
      <formula>0</formula>
    </cfRule>
  </conditionalFormatting>
  <conditionalFormatting sqref="F16">
    <cfRule type="cellIs" dxfId="12" priority="67" stopIfTrue="1" operator="equal">
      <formula>0</formula>
    </cfRule>
  </conditionalFormatting>
  <conditionalFormatting sqref="F15">
    <cfRule type="cellIs" dxfId="11" priority="64" stopIfTrue="1" operator="equal">
      <formula>0</formula>
    </cfRule>
  </conditionalFormatting>
  <conditionalFormatting sqref="F23">
    <cfRule type="cellIs" dxfId="10" priority="48" stopIfTrue="1" operator="equal">
      <formula>0</formula>
    </cfRule>
  </conditionalFormatting>
  <conditionalFormatting sqref="F67:F68">
    <cfRule type="cellIs" dxfId="9" priority="43" stopIfTrue="1" operator="equal">
      <formula>0</formula>
    </cfRule>
  </conditionalFormatting>
  <conditionalFormatting sqref="F57:F66">
    <cfRule type="cellIs" dxfId="8" priority="26" stopIfTrue="1" operator="equal">
      <formula>0</formula>
    </cfRule>
  </conditionalFormatting>
  <conditionalFormatting sqref="F42:F48">
    <cfRule type="cellIs" dxfId="7" priority="24" stopIfTrue="1" operator="equal">
      <formula>0</formula>
    </cfRule>
  </conditionalFormatting>
  <conditionalFormatting sqref="C18">
    <cfRule type="cellIs" dxfId="6" priority="9" operator="equal">
      <formula>0</formula>
    </cfRule>
  </conditionalFormatting>
  <conditionalFormatting sqref="F17:F21">
    <cfRule type="cellIs" dxfId="5" priority="8" stopIfTrue="1" operator="equal">
      <formula>0</formula>
    </cfRule>
  </conditionalFormatting>
  <conditionalFormatting sqref="F25:F36">
    <cfRule type="cellIs" dxfId="4" priority="5" stopIfTrue="1" operator="equal">
      <formula>0</formula>
    </cfRule>
  </conditionalFormatting>
  <conditionalFormatting sqref="C33">
    <cfRule type="cellIs" dxfId="3" priority="4" operator="equal">
      <formula>0</formula>
    </cfRule>
  </conditionalFormatting>
  <conditionalFormatting sqref="C39">
    <cfRule type="cellIs" dxfId="2" priority="3" operator="equal">
      <formula>0</formula>
    </cfRule>
  </conditionalFormatting>
  <conditionalFormatting sqref="C40">
    <cfRule type="cellIs" dxfId="1" priority="2" operator="equal">
      <formula>0</formula>
    </cfRule>
  </conditionalFormatting>
  <conditionalFormatting sqref="F49:F54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16 C26:C28 F23 C34:C36 F25:F69 H14:K72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10" zoomScale="85" zoomScaleNormal="115" zoomScaleSheetLayoutView="85" workbookViewId="0">
      <selection activeCell="Q7" sqref="Q7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7" t="s">
        <v>1439</v>
      </c>
      <c r="X2" s="648"/>
      <c r="Y2" s="648"/>
      <c r="Z2" s="648"/>
      <c r="AA2" s="648"/>
      <c r="AB2" s="648"/>
      <c r="AC2" s="648"/>
      <c r="AD2" s="649"/>
    </row>
    <row r="3" spans="3:30">
      <c r="C3" s="238"/>
      <c r="W3" s="650"/>
      <c r="X3" s="651"/>
      <c r="Y3" s="651"/>
      <c r="Z3" s="651"/>
      <c r="AA3" s="651"/>
      <c r="AB3" s="651"/>
      <c r="AC3" s="651"/>
      <c r="AD3" s="652"/>
    </row>
    <row r="4" spans="3:30">
      <c r="C4" s="238"/>
      <c r="Q4" s="483" t="s">
        <v>1616</v>
      </c>
      <c r="W4" s="239" t="s">
        <v>987</v>
      </c>
      <c r="AD4" s="240"/>
    </row>
    <row r="5" spans="3:30">
      <c r="C5" s="238"/>
      <c r="W5" s="241" t="s">
        <v>991</v>
      </c>
      <c r="X5" s="653" t="s">
        <v>990</v>
      </c>
      <c r="Y5" s="653"/>
      <c r="Z5" s="653"/>
      <c r="AA5" s="653" t="s">
        <v>988</v>
      </c>
      <c r="AB5" s="653"/>
      <c r="AC5" s="653" t="s">
        <v>989</v>
      </c>
      <c r="AD5" s="654"/>
    </row>
    <row r="6" spans="3:30" ht="21">
      <c r="C6" s="238"/>
      <c r="Q6" s="511" t="s">
        <v>1628</v>
      </c>
      <c r="W6" s="241">
        <v>1</v>
      </c>
      <c r="X6" s="653" t="s">
        <v>993</v>
      </c>
      <c r="Y6" s="653"/>
      <c r="Z6" s="653"/>
      <c r="AA6" s="653"/>
      <c r="AB6" s="653"/>
      <c r="AC6" s="653"/>
      <c r="AD6" s="654"/>
    </row>
    <row r="7" spans="3:30">
      <c r="C7" s="238"/>
      <c r="W7" s="241">
        <v>2</v>
      </c>
      <c r="X7" s="653" t="s">
        <v>994</v>
      </c>
      <c r="Y7" s="653"/>
      <c r="Z7" s="653"/>
      <c r="AA7" s="653"/>
      <c r="AB7" s="653"/>
      <c r="AC7" s="653"/>
      <c r="AD7" s="654"/>
    </row>
    <row r="8" spans="3:30">
      <c r="C8" s="238"/>
      <c r="W8" s="241">
        <v>3</v>
      </c>
      <c r="X8" s="653" t="s">
        <v>995</v>
      </c>
      <c r="Y8" s="653"/>
      <c r="Z8" s="653"/>
      <c r="AA8" s="653"/>
      <c r="AB8" s="653"/>
      <c r="AC8" s="653"/>
      <c r="AD8" s="654"/>
    </row>
    <row r="9" spans="3:30">
      <c r="C9" s="238"/>
      <c r="W9" s="241">
        <v>4</v>
      </c>
      <c r="X9" s="653" t="s">
        <v>996</v>
      </c>
      <c r="Y9" s="653"/>
      <c r="Z9" s="653"/>
      <c r="AA9" s="653"/>
      <c r="AB9" s="653"/>
      <c r="AC9" s="653"/>
      <c r="AD9" s="654"/>
    </row>
    <row r="10" spans="3:30">
      <c r="C10" s="238"/>
      <c r="W10" s="241">
        <v>5</v>
      </c>
      <c r="X10" s="653" t="s">
        <v>997</v>
      </c>
      <c r="Y10" s="653"/>
      <c r="Z10" s="653"/>
      <c r="AA10" s="653"/>
      <c r="AB10" s="653"/>
      <c r="AC10" s="653"/>
      <c r="AD10" s="654"/>
    </row>
    <row r="11" spans="3:30">
      <c r="C11" s="238"/>
      <c r="W11" s="241">
        <v>6</v>
      </c>
      <c r="X11" s="653" t="s">
        <v>998</v>
      </c>
      <c r="Y11" s="653"/>
      <c r="Z11" s="653"/>
      <c r="AA11" s="653"/>
      <c r="AB11" s="653"/>
      <c r="AC11" s="653"/>
      <c r="AD11" s="654"/>
    </row>
    <row r="12" spans="3:30">
      <c r="C12" s="238"/>
      <c r="W12" s="241">
        <v>7</v>
      </c>
      <c r="X12" s="653" t="s">
        <v>999</v>
      </c>
      <c r="Y12" s="653"/>
      <c r="Z12" s="653"/>
      <c r="AA12" s="653"/>
      <c r="AB12" s="653"/>
      <c r="AC12" s="653"/>
      <c r="AD12" s="654"/>
    </row>
    <row r="13" spans="3:30" ht="12.75" customHeight="1">
      <c r="C13" s="238"/>
      <c r="W13" s="241">
        <v>8</v>
      </c>
      <c r="X13" s="653" t="s">
        <v>1000</v>
      </c>
      <c r="Y13" s="653"/>
      <c r="Z13" s="653"/>
      <c r="AA13" s="653"/>
      <c r="AB13" s="653"/>
      <c r="AC13" s="653"/>
      <c r="AD13" s="654"/>
    </row>
    <row r="14" spans="3:30">
      <c r="C14" s="238"/>
      <c r="W14" s="241">
        <v>9</v>
      </c>
      <c r="X14" s="653" t="s">
        <v>1001</v>
      </c>
      <c r="Y14" s="653"/>
      <c r="Z14" s="653"/>
      <c r="AA14" s="653"/>
      <c r="AB14" s="653"/>
      <c r="AC14" s="653"/>
      <c r="AD14" s="654"/>
    </row>
    <row r="15" spans="3:30">
      <c r="C15" s="238"/>
      <c r="W15" s="241">
        <v>10</v>
      </c>
      <c r="X15" s="653" t="s">
        <v>1010</v>
      </c>
      <c r="Y15" s="653"/>
      <c r="Z15" s="653"/>
      <c r="AA15" s="653"/>
      <c r="AB15" s="653"/>
      <c r="AC15" s="653"/>
      <c r="AD15" s="654"/>
    </row>
    <row r="16" spans="3:30">
      <c r="C16" s="238"/>
      <c r="W16" s="241">
        <v>11</v>
      </c>
      <c r="X16" s="653" t="s">
        <v>1455</v>
      </c>
      <c r="Y16" s="653"/>
      <c r="Z16" s="653"/>
      <c r="AA16" s="653"/>
      <c r="AB16" s="653"/>
      <c r="AC16" s="653"/>
      <c r="AD16" s="654"/>
    </row>
    <row r="17" spans="3:30">
      <c r="C17" s="238"/>
      <c r="S17" s="242"/>
      <c r="W17" s="241">
        <v>12</v>
      </c>
      <c r="X17" s="653" t="s">
        <v>1011</v>
      </c>
      <c r="Y17" s="653"/>
      <c r="Z17" s="653"/>
      <c r="AA17" s="653"/>
      <c r="AB17" s="653"/>
      <c r="AC17" s="653"/>
      <c r="AD17" s="654"/>
    </row>
    <row r="18" spans="3:30">
      <c r="C18" s="243"/>
      <c r="D18" s="244"/>
      <c r="E18" s="244"/>
      <c r="W18" s="241">
        <v>13</v>
      </c>
      <c r="X18" s="653"/>
      <c r="Y18" s="653"/>
      <c r="Z18" s="653"/>
      <c r="AA18" s="653"/>
      <c r="AB18" s="653"/>
      <c r="AC18" s="653"/>
      <c r="AD18" s="654"/>
    </row>
    <row r="19" spans="3:30">
      <c r="C19" s="238"/>
      <c r="W19" s="245"/>
      <c r="X19" s="670"/>
      <c r="Y19" s="670"/>
      <c r="Z19" s="670"/>
      <c r="AA19" s="670"/>
      <c r="AB19" s="670"/>
      <c r="AC19" s="670"/>
      <c r="AD19" s="671"/>
    </row>
    <row r="20" spans="3:30">
      <c r="C20" s="238"/>
      <c r="W20" s="655" t="s">
        <v>992</v>
      </c>
      <c r="X20" s="656"/>
      <c r="Y20" s="656"/>
      <c r="Z20" s="656"/>
      <c r="AA20" s="656"/>
      <c r="AB20" s="656"/>
      <c r="AC20" s="656"/>
      <c r="AD20" s="657"/>
    </row>
    <row r="21" spans="3:30">
      <c r="C21" s="238"/>
      <c r="W21" s="658" t="s">
        <v>985</v>
      </c>
      <c r="X21" s="659"/>
      <c r="Y21" s="659"/>
      <c r="Z21" s="660"/>
      <c r="AA21" s="661" t="s">
        <v>986</v>
      </c>
      <c r="AB21" s="662"/>
      <c r="AC21" s="662"/>
      <c r="AD21" s="663"/>
    </row>
    <row r="22" spans="3:30">
      <c r="C22" s="238"/>
      <c r="W22" s="664"/>
      <c r="X22" s="665"/>
      <c r="Y22" s="485"/>
      <c r="Z22" s="488"/>
      <c r="AA22" s="666"/>
      <c r="AB22" s="667"/>
      <c r="AC22" s="248"/>
      <c r="AD22" s="249"/>
    </row>
    <row r="23" spans="3:30">
      <c r="C23" s="238"/>
      <c r="W23" s="664"/>
      <c r="X23" s="665"/>
      <c r="Y23" s="485"/>
      <c r="Z23" s="488"/>
      <c r="AA23" s="668"/>
      <c r="AB23" s="669"/>
      <c r="AC23" s="248"/>
      <c r="AD23" s="249"/>
    </row>
    <row r="24" spans="3:30">
      <c r="C24" s="238"/>
      <c r="W24" s="674"/>
      <c r="X24" s="675"/>
      <c r="Y24" s="246"/>
      <c r="Z24" s="247"/>
      <c r="AA24" s="676"/>
      <c r="AB24" s="677"/>
      <c r="AC24" s="248"/>
      <c r="AD24" s="249"/>
    </row>
    <row r="25" spans="3:30">
      <c r="C25" s="238"/>
      <c r="W25" s="674"/>
      <c r="X25" s="675"/>
      <c r="Y25" s="246"/>
      <c r="Z25" s="247"/>
      <c r="AA25" s="668"/>
      <c r="AB25" s="669"/>
      <c r="AC25" s="248"/>
      <c r="AD25" s="249"/>
    </row>
    <row r="26" spans="3:30">
      <c r="C26" s="238"/>
      <c r="W26" s="473"/>
      <c r="X26" s="474"/>
      <c r="Y26" s="246"/>
      <c r="Z26" s="247"/>
      <c r="AA26" s="668"/>
      <c r="AB26" s="669"/>
      <c r="AC26" s="248"/>
      <c r="AD26" s="249"/>
    </row>
    <row r="27" spans="3:30">
      <c r="C27" s="238"/>
      <c r="W27" s="473"/>
      <c r="X27" s="474"/>
      <c r="Y27" s="246"/>
      <c r="Z27" s="247"/>
      <c r="AA27" s="672"/>
      <c r="AB27" s="673"/>
      <c r="AC27" s="248"/>
      <c r="AD27" s="249"/>
    </row>
    <row r="28" spans="3:30">
      <c r="C28" s="238"/>
      <c r="W28" s="473"/>
      <c r="X28" s="474"/>
      <c r="Y28" s="246"/>
      <c r="Z28" s="247"/>
      <c r="AA28" s="672"/>
      <c r="AB28" s="673"/>
      <c r="AC28" s="248"/>
      <c r="AD28" s="249"/>
    </row>
    <row r="29" spans="3:30">
      <c r="C29" s="238"/>
      <c r="W29" s="473"/>
      <c r="X29" s="474"/>
      <c r="Y29" s="246"/>
      <c r="Z29" s="247"/>
      <c r="AA29" s="672"/>
      <c r="AB29" s="673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72"/>
      <c r="AB30" s="673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72"/>
      <c r="AB31" s="673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72"/>
      <c r="AB32" s="673"/>
      <c r="AC32" s="248"/>
      <c r="AD32" s="249"/>
    </row>
    <row r="33" spans="3:30">
      <c r="C33" s="238"/>
      <c r="W33" s="473"/>
      <c r="X33" s="474"/>
      <c r="Y33" s="246"/>
      <c r="Z33" s="247"/>
      <c r="AA33" s="672"/>
      <c r="AB33" s="673"/>
      <c r="AC33" s="248"/>
      <c r="AD33" s="249"/>
    </row>
    <row r="34" spans="3:30">
      <c r="C34" s="238"/>
      <c r="W34" s="473"/>
      <c r="X34" s="474"/>
      <c r="Y34" s="246"/>
      <c r="Z34" s="247"/>
      <c r="AA34" s="672"/>
      <c r="AB34" s="673"/>
      <c r="AC34" s="248"/>
      <c r="AD34" s="249"/>
    </row>
    <row r="35" spans="3:30">
      <c r="C35" s="238"/>
      <c r="W35" s="674"/>
      <c r="X35" s="687"/>
      <c r="Y35" s="246"/>
      <c r="Z35" s="247"/>
      <c r="AA35" s="672"/>
      <c r="AB35" s="673"/>
      <c r="AC35" s="248"/>
      <c r="AD35" s="249"/>
    </row>
    <row r="36" spans="3:30">
      <c r="C36" s="238"/>
      <c r="W36" s="678"/>
      <c r="X36" s="679"/>
      <c r="Y36" s="246"/>
      <c r="Z36" s="251"/>
      <c r="AA36" s="680"/>
      <c r="AB36" s="673"/>
      <c r="AC36" s="248"/>
      <c r="AD36" s="249"/>
    </row>
    <row r="37" spans="3:30" ht="12.75" customHeight="1">
      <c r="C37" s="238"/>
      <c r="W37" s="681"/>
      <c r="X37" s="682"/>
      <c r="Y37" s="246"/>
      <c r="Z37" s="251"/>
      <c r="AA37" s="683"/>
      <c r="AB37" s="684"/>
      <c r="AC37" s="252"/>
      <c r="AD37" s="253"/>
    </row>
    <row r="38" spans="3:30" ht="12.75" customHeight="1">
      <c r="C38" s="238"/>
      <c r="W38" s="681"/>
      <c r="X38" s="682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1"/>
      <c r="X39" s="682"/>
      <c r="Y39" s="254"/>
      <c r="Z39" s="257"/>
      <c r="AA39" s="685"/>
      <c r="AB39" s="686"/>
      <c r="AC39" s="252"/>
      <c r="AD39" s="253"/>
    </row>
    <row r="40" spans="3:30" ht="12" customHeight="1">
      <c r="C40" s="238"/>
      <c r="W40" s="691"/>
      <c r="X40" s="692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3"/>
      <c r="X41" s="694"/>
      <c r="Y41" s="260"/>
      <c r="Z41" s="261"/>
      <c r="AA41" s="685"/>
      <c r="AB41" s="686"/>
      <c r="AC41" s="252"/>
      <c r="AD41" s="253"/>
    </row>
    <row r="42" spans="3:30" ht="12" customHeight="1">
      <c r="C42" s="238"/>
      <c r="W42" s="695" t="s">
        <v>1456</v>
      </c>
      <c r="X42" s="696"/>
      <c r="Y42" s="696"/>
      <c r="Z42" s="696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8" t="s">
        <v>11</v>
      </c>
      <c r="X44" s="689"/>
      <c r="Y44" s="653"/>
      <c r="Z44" s="653"/>
      <c r="AA44" s="653"/>
      <c r="AB44" s="653"/>
      <c r="AC44" s="653"/>
      <c r="AD44" s="654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8" t="s">
        <v>984</v>
      </c>
      <c r="X45" s="689"/>
      <c r="Y45" s="653">
        <v>1</v>
      </c>
      <c r="Z45" s="653"/>
      <c r="AA45" s="653"/>
      <c r="AB45" s="653" t="s">
        <v>12</v>
      </c>
      <c r="AC45" s="653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8" t="s">
        <v>15</v>
      </c>
      <c r="X46" s="689"/>
      <c r="Y46" s="690"/>
      <c r="Z46" s="690"/>
      <c r="AA46" s="690"/>
      <c r="AB46" s="653" t="s">
        <v>16</v>
      </c>
      <c r="AC46" s="653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1" t="s">
        <v>17</v>
      </c>
      <c r="X47" s="701"/>
      <c r="Y47" s="701"/>
      <c r="Z47" s="701"/>
      <c r="AA47" s="701"/>
      <c r="AB47" s="701"/>
      <c r="AC47" s="701"/>
      <c r="AD47" s="702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3" t="str">
        <f>RAB!G6</f>
        <v>KSPPS PONTREN</v>
      </c>
      <c r="X48" s="704"/>
      <c r="Y48" s="704"/>
      <c r="Z48" s="704"/>
      <c r="AA48" s="704"/>
      <c r="AB48" s="704"/>
      <c r="AC48" s="704"/>
      <c r="AD48" s="705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3" t="str">
        <f>RAB!G7</f>
        <v>SEMBUNGHARJO</v>
      </c>
      <c r="X49" s="704"/>
      <c r="Y49" s="704"/>
      <c r="Z49" s="704"/>
      <c r="AA49" s="704"/>
      <c r="AB49" s="704"/>
      <c r="AC49" s="704"/>
      <c r="AD49" s="705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8" t="s">
        <v>18</v>
      </c>
      <c r="X52" s="689"/>
      <c r="Y52" s="653" t="s">
        <v>1607</v>
      </c>
      <c r="Z52" s="653"/>
      <c r="AA52" s="653"/>
      <c r="AB52" s="653"/>
      <c r="AC52" s="653"/>
      <c r="AD52" s="654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8" t="s">
        <v>19</v>
      </c>
      <c r="X53" s="689"/>
      <c r="Y53" s="653" t="s">
        <v>1608</v>
      </c>
      <c r="Z53" s="653"/>
      <c r="AA53" s="653"/>
      <c r="AB53" s="653"/>
      <c r="AC53" s="653"/>
      <c r="AD53" s="654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8" t="s">
        <v>20</v>
      </c>
      <c r="X54" s="689"/>
      <c r="Y54" s="697" t="s">
        <v>1547</v>
      </c>
      <c r="Z54" s="697"/>
      <c r="AA54" s="697"/>
      <c r="AB54" s="653"/>
      <c r="AC54" s="653"/>
      <c r="AD54" s="654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8" t="s">
        <v>21</v>
      </c>
      <c r="X55" s="699"/>
      <c r="Y55" s="697"/>
      <c r="Z55" s="697"/>
      <c r="AA55" s="697"/>
      <c r="AB55" s="697"/>
      <c r="AC55" s="697"/>
      <c r="AD55" s="700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6" t="s">
        <v>1528</v>
      </c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7"/>
      <c r="AC4" s="708"/>
      <c r="AD4" s="217"/>
      <c r="AE4" s="216"/>
      <c r="AF4" s="216"/>
    </row>
    <row r="5" spans="2:32" ht="13.5" customHeight="1">
      <c r="B5" s="215"/>
      <c r="C5" s="215"/>
      <c r="D5" s="709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1"/>
      <c r="AD5" s="217"/>
      <c r="AE5" s="216"/>
      <c r="AF5" s="216"/>
    </row>
    <row r="6" spans="2:32" ht="12.75" customHeight="1">
      <c r="B6" s="215"/>
      <c r="C6" s="215"/>
      <c r="D6" s="709"/>
      <c r="E6" s="710"/>
      <c r="F6" s="710"/>
      <c r="G6" s="710"/>
      <c r="H6" s="710"/>
      <c r="I6" s="710"/>
      <c r="J6" s="710"/>
      <c r="K6" s="710"/>
      <c r="L6" s="710"/>
      <c r="M6" s="710"/>
      <c r="N6" s="710"/>
      <c r="O6" s="710"/>
      <c r="P6" s="710"/>
      <c r="Q6" s="710"/>
      <c r="R6" s="710"/>
      <c r="S6" s="710"/>
      <c r="T6" s="710"/>
      <c r="U6" s="710"/>
      <c r="V6" s="710"/>
      <c r="W6" s="710"/>
      <c r="X6" s="710"/>
      <c r="Y6" s="710"/>
      <c r="Z6" s="710"/>
      <c r="AA6" s="710"/>
      <c r="AB6" s="710"/>
      <c r="AC6" s="711"/>
      <c r="AE6" s="216"/>
      <c r="AF6" s="216"/>
    </row>
    <row r="7" spans="2:32" ht="12.75" customHeight="1" thickBot="1">
      <c r="B7" s="215"/>
      <c r="C7" s="215"/>
      <c r="D7" s="712"/>
      <c r="E7" s="713"/>
      <c r="F7" s="713"/>
      <c r="G7" s="713"/>
      <c r="H7" s="713"/>
      <c r="I7" s="713"/>
      <c r="J7" s="713"/>
      <c r="K7" s="713"/>
      <c r="L7" s="713"/>
      <c r="M7" s="713"/>
      <c r="N7" s="713"/>
      <c r="O7" s="713"/>
      <c r="P7" s="713"/>
      <c r="Q7" s="713"/>
      <c r="R7" s="713"/>
      <c r="S7" s="713"/>
      <c r="T7" s="713"/>
      <c r="U7" s="713"/>
      <c r="V7" s="713"/>
      <c r="W7" s="713"/>
      <c r="X7" s="713"/>
      <c r="Y7" s="713"/>
      <c r="Z7" s="713"/>
      <c r="AA7" s="713"/>
      <c r="AB7" s="713"/>
      <c r="AC7" s="71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0" t="s">
        <v>1527</v>
      </c>
      <c r="D3" s="710"/>
      <c r="E3" s="710"/>
      <c r="F3" s="710"/>
      <c r="G3" s="710"/>
      <c r="H3" s="710"/>
      <c r="I3" s="710"/>
      <c r="J3" s="710"/>
      <c r="K3" s="710"/>
      <c r="L3" s="710"/>
      <c r="M3" s="710"/>
      <c r="N3" s="710"/>
      <c r="O3" s="710"/>
      <c r="P3" s="710"/>
      <c r="Q3" s="710"/>
      <c r="R3" s="710"/>
      <c r="S3" s="710"/>
      <c r="T3" s="710"/>
      <c r="U3" s="710"/>
      <c r="V3" s="710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15"/>
      <c r="D6" s="715"/>
      <c r="E6" s="715"/>
      <c r="F6" s="715"/>
      <c r="G6" s="715"/>
      <c r="H6" s="715"/>
      <c r="I6" s="715"/>
      <c r="J6" s="715"/>
      <c r="K6" s="715"/>
      <c r="L6" s="715"/>
      <c r="M6" s="715"/>
      <c r="W6" s="182"/>
      <c r="Y6" s="420"/>
      <c r="Z6" s="420"/>
      <c r="AA6" s="420"/>
      <c r="AB6" s="421"/>
      <c r="AC6" s="421"/>
    </row>
    <row r="7" spans="1:29" ht="18" customHeight="1">
      <c r="A7" s="181"/>
      <c r="C7" s="715"/>
      <c r="D7" s="715"/>
      <c r="E7" s="715"/>
      <c r="F7" s="715"/>
      <c r="G7" s="715"/>
      <c r="H7" s="715"/>
      <c r="I7" s="715"/>
      <c r="J7" s="715"/>
      <c r="K7" s="715"/>
      <c r="L7" s="715"/>
      <c r="M7" s="715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2023-08-11T05:50:27Z</cp:lastPrinted>
  <dcterms:created xsi:type="dcterms:W3CDTF">2011-02-06T11:57:38Z</dcterms:created>
  <dcterms:modified xsi:type="dcterms:W3CDTF">2024-01-17T08:45:33Z</dcterms:modified>
</cp:coreProperties>
</file>