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ftakhul.huda\Desktop\2020\01. PBPD\2023\11. NOVEMBER 2023\52.  52554 KKO KKF PUSKESMAS GABUS  1 pd 23- 33 KVA\"/>
    </mc:Choice>
  </mc:AlternateContent>
  <bookViews>
    <workbookView xWindow="-120" yWindow="-120" windowWidth="20730" windowHeight="11160" tabRatio="859" activeTab="9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RAB!$A$1:$K$51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2" i="11" l="1"/>
  <c r="F21" i="11"/>
  <c r="F20" i="11"/>
  <c r="F19" i="11"/>
  <c r="F18" i="11"/>
  <c r="E18" i="11" l="1"/>
  <c r="D19" i="11"/>
  <c r="E19" i="11"/>
  <c r="E20" i="11"/>
  <c r="E21" i="11"/>
  <c r="D22" i="11"/>
  <c r="E22" i="11"/>
  <c r="D24" i="11"/>
  <c r="E24" i="11"/>
  <c r="D25" i="11"/>
  <c r="E25" i="11"/>
  <c r="D26" i="11"/>
  <c r="E26" i="11"/>
  <c r="D27" i="11"/>
  <c r="E27" i="11"/>
  <c r="H21" i="11" l="1"/>
  <c r="G21" i="11"/>
  <c r="H22" i="11"/>
  <c r="G22" i="11"/>
  <c r="G6" i="11"/>
  <c r="J22" i="11" l="1"/>
  <c r="I22" i="11"/>
  <c r="J21" i="11"/>
  <c r="I21" i="11"/>
  <c r="G19" i="11"/>
  <c r="J20" i="11"/>
  <c r="G20" i="11"/>
  <c r="G24" i="11"/>
  <c r="J25" i="11"/>
  <c r="G25" i="11"/>
  <c r="G26" i="11"/>
  <c r="J26" i="11" s="1"/>
  <c r="H27" i="11"/>
  <c r="G27" i="11"/>
  <c r="D28" i="11"/>
  <c r="H28" i="11" s="1"/>
  <c r="E28" i="11"/>
  <c r="G28" i="11"/>
  <c r="K22" i="11" l="1"/>
  <c r="K21" i="11"/>
  <c r="J19" i="11"/>
  <c r="I19" i="11"/>
  <c r="I28" i="11"/>
  <c r="H19" i="11"/>
  <c r="I20" i="11"/>
  <c r="I27" i="11"/>
  <c r="I25" i="11"/>
  <c r="J28" i="11"/>
  <c r="J27" i="11"/>
  <c r="H25" i="11"/>
  <c r="I26" i="11"/>
  <c r="H24" i="11"/>
  <c r="J24" i="11"/>
  <c r="I24" i="11"/>
  <c r="H26" i="11"/>
  <c r="H20" i="11"/>
  <c r="K28" i="11" l="1"/>
  <c r="K19" i="11"/>
  <c r="K27" i="11"/>
  <c r="K20" i="11"/>
  <c r="K25" i="11"/>
  <c r="K26" i="11"/>
  <c r="K24" i="11"/>
  <c r="W49" i="64"/>
  <c r="G15" i="11" l="1"/>
  <c r="G17" i="11"/>
  <c r="G18" i="11"/>
  <c r="H18" i="11" s="1"/>
  <c r="G29" i="11"/>
  <c r="D15" i="11"/>
  <c r="J15" i="11" s="1"/>
  <c r="E15" i="11"/>
  <c r="D17" i="11"/>
  <c r="E17" i="11"/>
  <c r="D29" i="11"/>
  <c r="H29" i="11" s="1"/>
  <c r="E29" i="11"/>
  <c r="D30" i="11"/>
  <c r="I30" i="11" s="1"/>
  <c r="E30" i="11"/>
  <c r="G30" i="11"/>
  <c r="I17" i="11" l="1"/>
  <c r="I15" i="11"/>
  <c r="H17" i="11"/>
  <c r="J29" i="11"/>
  <c r="J18" i="11"/>
  <c r="H15" i="11"/>
  <c r="I29" i="11"/>
  <c r="I18" i="11"/>
  <c r="J17" i="11"/>
  <c r="J30" i="11"/>
  <c r="H30" i="11"/>
  <c r="K15" i="11" l="1"/>
  <c r="K17" i="11"/>
  <c r="K18" i="11"/>
  <c r="K29" i="11"/>
  <c r="K30" i="11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K5" i="60" l="1"/>
  <c r="F3" i="54" l="1"/>
  <c r="D8" i="59" l="1"/>
  <c r="C7" i="54" s="1"/>
  <c r="C8" i="54" l="1"/>
  <c r="D9" i="59"/>
  <c r="K7" i="54" s="1"/>
  <c r="H8" i="54" l="1"/>
  <c r="I8" i="54"/>
  <c r="H7" i="54"/>
  <c r="I7" i="54"/>
  <c r="D31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31" i="11"/>
  <c r="D32" i="11"/>
  <c r="H32" i="11" s="1"/>
  <c r="E32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N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N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739" i="10"/>
  <c r="N874" i="10"/>
  <c r="N857" i="10"/>
  <c r="N1070" i="10"/>
  <c r="N700" i="10"/>
  <c r="N775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664" i="10"/>
  <c r="N986" i="10"/>
  <c r="N922" i="10"/>
  <c r="N921" i="10"/>
  <c r="N908" i="10"/>
  <c r="N892" i="10"/>
  <c r="N884" i="10"/>
  <c r="N763" i="10"/>
  <c r="N645" i="10"/>
  <c r="N993" i="10"/>
  <c r="N964" i="10"/>
  <c r="N1085" i="10"/>
  <c r="N1053" i="10"/>
  <c r="N1045" i="10"/>
  <c r="N989" i="10"/>
  <c r="N977" i="10"/>
  <c r="N937" i="10"/>
  <c r="N845" i="10"/>
  <c r="N813" i="10"/>
  <c r="N925" i="10"/>
  <c r="N909" i="10"/>
  <c r="N896" i="10"/>
  <c r="N712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3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39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42" i="39"/>
  <c r="L172" i="29"/>
  <c r="B171" i="29" l="1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31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32" i="11"/>
  <c r="I32" i="11"/>
  <c r="C294" i="29" l="1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F293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32" i="11"/>
  <c r="E236" i="29" l="1"/>
  <c r="F294" i="29"/>
  <c r="J31" i="11"/>
  <c r="K31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E258" i="29"/>
  <c r="F258" i="29"/>
  <c r="E237" i="29"/>
  <c r="F237" i="29"/>
  <c r="F58" i="39"/>
  <c r="E58" i="39"/>
  <c r="F60" i="39" s="1"/>
  <c r="H34" i="11"/>
  <c r="H35" i="11" s="1"/>
  <c r="I34" i="11"/>
  <c r="I35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5" i="29" l="1"/>
  <c r="F288" i="29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36" i="11"/>
  <c r="I36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34" i="11"/>
  <c r="K35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34" i="11"/>
  <c r="J35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36" i="11"/>
  <c r="B37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36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851" i="41" s="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5" i="41" l="1"/>
  <c r="F778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<sst xmlns="http://schemas.openxmlformats.org/spreadsheetml/2006/main" count="4695" uniqueCount="1622">
  <si>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</si>
  <si>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</si>
  <si>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</si>
  <si>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</si>
  <si>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</si>
  <si>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</si>
  <si>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</si>
  <si>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</si>
  <si>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</si>
  <si>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</si>
  <si>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</si>
  <si>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</si>
  <si>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</si>
  <si>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</si>
  <si>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</si>
  <si>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</si>
  <si>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</si>
  <si>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</si>
  <si>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</si>
  <si>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</si>
  <si>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</si>
  <si>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</si>
  <si>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</si>
  <si>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</si>
  <si>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</si>
  <si>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</si>
  <si>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</si>
  <si>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</si>
  <si>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</si>
  <si>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</si>
  <si>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</si>
  <si>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</si>
  <si>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</si>
  <si>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</si>
  <si>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</si>
  <si>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</si>
  <si>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</si>
  <si>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</si>
  <si>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</si>
  <si>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</si>
  <si>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</si>
  <si>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</si>
  <si>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</si>
  <si>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</si>
  <si>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</si>
  <si>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</si>
  <si>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</si>
  <si>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</si>
  <si>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</si>
  <si>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</si>
  <si>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</si>
  <si>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</si>
  <si>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</si>
  <si>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</si>
  <si>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</si>
  <si>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</si>
  <si>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</si>
  <si>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</si>
  <si>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</si>
  <si>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</si>
  <si>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</si>
  <si>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</si>
  <si>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</si>
  <si>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</si>
  <si>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</si>
  <si>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</si>
  <si>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</si>
  <si>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</si>
  <si>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</si>
  <si>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</si>
  <si>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</si>
  <si>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</si>
  <si>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</si>
  <si>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</si>
  <si>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</si>
  <si>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</si>
  <si>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</si>
  <si>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</si>
  <si>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</si>
  <si>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</si>
  <si>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</si>
  <si>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</si>
  <si>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</si>
  <si>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</si>
  <si>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</si>
  <si>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</si>
  <si>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</si>
  <si>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</si>
  <si>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</si>
  <si>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</si>
  <si>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</si>
  <si>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</si>
  <si>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</si>
  <si>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</si>
  <si>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</si>
  <si>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</si>
  <si>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</si>
  <si>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</si>
  <si>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</si>
  <si>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</si>
  <si>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</si>
  <si>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</si>
  <si>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</si>
  <si>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</si>
  <si>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</si>
  <si>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</si>
  <si>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</si>
  <si>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</si>
  <si>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</si>
  <si>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</si>
  <si>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</si>
  <si>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</si>
  <si>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</si>
  <si>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</si>
  <si>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</si>
  <si>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</si>
  <si>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</si>
  <si>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</si>
  <si>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</si>
  <si>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</si>
  <si>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</si>
  <si>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</si>
  <si>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</si>
  <si>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</si>
  <si>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</si>
  <si>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</si>
  <si>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</si>
  <si>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</si>
  <si>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</si>
  <si>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</si>
  <si>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</si>
  <si>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</si>
  <si>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</si>
  <si>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</si>
  <si>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</si>
  <si>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</si>
  <si>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</si>
  <si>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</si>
  <si>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</si>
  <si>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</si>
  <si>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</si>
  <si>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</si>
  <si>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</si>
  <si>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</si>
  <si>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</si>
  <si>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</si>
  <si>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</si>
  <si>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</si>
  <si>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</si>
  <si>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</si>
  <si>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</si>
  <si>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</si>
  <si>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</si>
  <si>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</si>
  <si>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</si>
  <si>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</si>
  <si>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</si>
  <si>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</si>
  <si>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</si>
  <si>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</si>
  <si>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</si>
  <si>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</si>
  <si>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</si>
  <si>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</si>
  <si>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</si>
  <si>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</si>
  <si>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</si>
  <si>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</si>
  <si>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</si>
  <si>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</si>
  <si>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</si>
  <si>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</si>
  <si>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</si>
  <si>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</si>
  <si>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</si>
  <si>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</si>
  <si>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</si>
  <si>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</si>
  <si>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</si>
  <si>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</si>
  <si>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</si>
  <si>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</si>
  <si>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</si>
  <si>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</si>
  <si>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</si>
  <si>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</si>
  <si>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</si>
  <si>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</si>
  <si>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</si>
  <si>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</si>
  <si>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</si>
  <si>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</si>
  <si>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</si>
  <si>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</si>
  <si>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</si>
  <si>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</si>
  <si>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</si>
  <si>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</si>
  <si>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</si>
  <si>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</si>
  <si>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</si>
  <si>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</si>
  <si>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</si>
  <si>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</si>
  <si>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</si>
  <si>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</si>
  <si>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</si>
  <si>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</si>
  <si>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</si>
  <si>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</si>
  <si>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</si>
  <si>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</si>
  <si>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</si>
  <si>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</si>
  <si>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</si>
  <si>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</si>
  <si>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</si>
  <si>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</si>
  <si>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</si>
  <si>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</si>
  <si>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</si>
  <si>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</si>
  <si>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</si>
  <si>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</si>
  <si>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</si>
  <si>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</si>
  <si>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</si>
  <si>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</si>
  <si>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</si>
  <si>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</si>
  <si>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</si>
  <si>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</si>
  <si>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</si>
  <si>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</si>
  <si>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</si>
  <si>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</si>
  <si>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</si>
  <si>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</si>
  <si>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</si>
  <si>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</si>
  <si>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</si>
  <si>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</si>
  <si>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</si>
  <si>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</si>
  <si>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</si>
  <si>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</si>
  <si>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</si>
  <si>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</si>
  <si>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</si>
  <si>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</si>
  <si>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</si>
  <si>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</si>
  <si>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</si>
  <si>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</si>
  <si>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</si>
  <si>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</si>
  <si>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</si>
  <si>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</si>
  <si>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</si>
  <si>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</si>
  <si>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</si>
  <si>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</si>
  <si>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</si>
  <si>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</si>
  <si>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</si>
  <si>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</si>
  <si>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</si>
  <si>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</si>
  <si>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</si>
  <si>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</si>
  <si>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</si>
  <si>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</si>
  <si>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</si>
  <si>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</si>
  <si>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</si>
  <si>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</si>
  <si>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</si>
  <si>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</si>
  <si>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</si>
  <si>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</si>
  <si>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</si>
  <si>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</si>
  <si>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</si>
  <si>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</si>
  <si>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</si>
  <si>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</si>
  <si>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</si>
  <si>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</si>
  <si>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</si>
  <si>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</si>
  <si>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</si>
  <si>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</si>
  <si>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</si>
  <si>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</si>
  <si>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</si>
  <si>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</si>
  <si>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</si>
  <si>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</si>
  <si>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</si>
  <si>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</si>
  <si>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</si>
  <si>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</si>
  <si>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</si>
  <si>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</si>
  <si>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</si>
  <si>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</si>
  <si>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</si>
  <si>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</si>
  <si>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</si>
  <si>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</si>
  <si>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</si>
  <si>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</si>
  <si>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</si>
  <si>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</si>
  <si>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</si>
  <si>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</si>
  <si>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</si>
  <si>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</si>
  <si>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</si>
  <si>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</si>
  <si>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</si>
  <si>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</si>
  <si>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</si>
  <si>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</si>
  <si>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</si>
  <si>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</si>
  <si>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</si>
  <si>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</si>
  <si>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</si>
  <si>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</si>
  <si>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</si>
  <si>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</si>
  <si>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</si>
  <si>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</si>
  <si>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</si>
  <si>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</si>
  <si>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</si>
  <si>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</si>
  <si>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</si>
  <si>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</si>
  <si>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</si>
  <si>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</si>
  <si>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</si>
  <si>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</si>
  <si>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</si>
  <si>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</si>
  <si>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</si>
  <si>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</si>
  <si>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</si>
  <si>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</si>
  <si>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</si>
  <si>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</si>
  <si>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</si>
  <si>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</si>
  <si>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</si>
  <si>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</si>
  <si>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</si>
  <si>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</si>
  <si>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</si>
  <si>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</si>
  <si>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</si>
  <si>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</si>
  <si>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</si>
  <si>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</si>
  <si>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</si>
  <si>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</si>
  <si>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</si>
  <si>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</si>
  <si>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</si>
  <si>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</si>
  <si>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</si>
  <si>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</si>
  <si>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</si>
  <si>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</si>
  <si>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</si>
  <si>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</si>
  <si>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</si>
  <si>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</si>
  <si>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</si>
  <si>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</si>
  <si>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</si>
  <si>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</si>
  <si>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</si>
  <si>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</si>
  <si>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</si>
  <si>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</si>
  <si>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</si>
  <si>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</si>
  <si>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</si>
  <si>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</si>
  <si>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</si>
  <si>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</si>
  <si>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</si>
  <si>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</si>
  <si>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</si>
  <si>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</si>
  <si>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</si>
  <si>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</si>
  <si>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</si>
  <si>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</si>
  <si>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</si>
  <si>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</si>
  <si>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</si>
  <si>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</si>
  <si>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</si>
  <si>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</si>
  <si>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</si>
  <si>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</si>
  <si>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</si>
  <si>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</si>
  <si>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</si>
  <si>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</si>
  <si>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</si>
  <si>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</si>
  <si>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</si>
  <si>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</si>
  <si>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</si>
  <si>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</si>
  <si>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</si>
  <si>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</si>
  <si>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</si>
  <si>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</si>
  <si>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</si>
  <si>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</si>
  <si>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</si>
  <si>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</si>
  <si>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</si>
  <si>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</si>
  <si>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</si>
  <si>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</si>
  <si>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</si>
  <si>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</si>
  <si>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</si>
  <si>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</si>
  <si>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</si>
  <si>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</si>
  <si>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</si>
  <si>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</si>
  <si>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</si>
  <si>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</si>
  <si>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</si>
  <si>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</si>
  <si>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</si>
  <si>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</si>
  <si>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</si>
  <si>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</si>
  <si>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</si>
  <si>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</si>
  <si>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</si>
  <si>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</si>
  <si>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</si>
  <si>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</si>
  <si>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</si>
  <si>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</si>
  <si>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</si>
  <si>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</si>
  <si>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</si>
  <si>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</si>
  <si>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</si>
  <si>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</si>
  <si>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</si>
  <si>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</si>
  <si>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</si>
  <si>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</si>
  <si>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</si>
  <si>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</si>
  <si>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</si>
  <si>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</si>
  <si>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</si>
  <si>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</si>
  <si>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</si>
  <si>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</si>
  <si>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</si>
  <si>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</si>
  <si>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</si>
  <si>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</si>
  <si>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</si>
  <si>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</si>
  <si>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</si>
  <si>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</si>
  <si>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</si>
  <si>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</si>
  <si>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</si>
  <si>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</si>
  <si>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</si>
  <si>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</si>
  <si>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</si>
  <si>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</si>
  <si>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</si>
  <si>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</si>
  <si>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</si>
  <si>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</si>
  <si>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</si>
  <si>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</si>
  <si>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</si>
  <si>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</si>
  <si>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</si>
  <si>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</si>
  <si>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</si>
  <si>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</si>
  <si>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</si>
  <si>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</si>
  <si>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</si>
  <si>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</si>
  <si>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</si>
  <si>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</si>
  <si>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</si>
  <si>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</si>
  <si>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</si>
  <si>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</si>
  <si>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</si>
  <si>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</si>
  <si>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</si>
  <si>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</si>
  <si>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</si>
  <si>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</si>
  <si>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</si>
  <si>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</si>
  <si>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</si>
  <si>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</si>
  <si>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</si>
  <si>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</si>
  <si>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</si>
  <si>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</si>
  <si>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</si>
  <si>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</si>
  <si>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</si>
  <si>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</si>
  <si>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</si>
  <si>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</si>
  <si>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</si>
  <si>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</si>
  <si>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</si>
  <si>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</si>
  <si>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</si>
  <si>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</si>
  <si>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</si>
  <si>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</si>
  <si>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</si>
  <si>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</si>
  <si>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</si>
  <si>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</si>
  <si>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</si>
  <si>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</si>
  <si>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</si>
  <si>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</si>
  <si>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</si>
  <si>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</si>
  <si>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</si>
  <si>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</si>
  <si>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</si>
  <si>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</si>
  <si>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</si>
  <si>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</si>
  <si>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</si>
  <si>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</si>
  <si>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</si>
  <si>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</si>
  <si>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</si>
  <si>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</si>
  <si>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</si>
  <si>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</si>
  <si>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</si>
  <si>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</si>
  <si>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</si>
  <si>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</si>
  <si>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</si>
  <si>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</si>
  <si>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</si>
  <si>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</si>
  <si>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</si>
  <si>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</si>
  <si>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</si>
  <si>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</si>
  <si>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</si>
  <si>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</si>
  <si>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</si>
  <si>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</si>
  <si>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</si>
  <si>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</si>
  <si>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</si>
  <si>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</si>
  <si>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</si>
  <si>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</si>
  <si>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</si>
  <si>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</si>
  <si>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</si>
  <si>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</si>
  <si>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</si>
  <si>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</si>
  <si>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</si>
  <si>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</si>
  <si>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</si>
  <si>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</si>
  <si>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</si>
  <si>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</si>
  <si>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</si>
  <si>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</si>
  <si>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</si>
  <si>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</si>
  <si>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</si>
  <si>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</si>
  <si>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</si>
  <si>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</si>
  <si>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</si>
  <si>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</si>
  <si>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</si>
  <si>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</si>
  <si>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</si>
  <si>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</si>
  <si>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</si>
  <si>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</si>
  <si>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</si>
  <si>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</si>
  <si>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</si>
  <si>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</si>
  <si>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</si>
  <si>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</si>
  <si>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</si>
  <si>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</si>
  <si>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</si>
  <si>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</si>
  <si>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</si>
  <si>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</si>
  <si>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</si>
  <si>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</si>
  <si>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</si>
  <si>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</si>
  <si>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</si>
  <si>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</si>
  <si>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</si>
  <si>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</si>
  <si>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</si>
  <si>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</si>
  <si>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</si>
  <si>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</si>
  <si>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</si>
  <si>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</si>
  <si>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</si>
  <si>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</si>
  <si>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</si>
  <si>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</si>
  <si>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</si>
  <si>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</si>
  <si>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</si>
  <si>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</si>
  <si>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</si>
  <si>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</si>
  <si>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</si>
  <si>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</si>
  <si>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</si>
  <si>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</si>
  <si>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</si>
  <si>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</si>
  <si>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</si>
  <si>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</si>
  <si>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</si>
  <si>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</si>
  <si>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</si>
  <si>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</si>
  <si>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</si>
  <si>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</si>
  <si>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</si>
  <si>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</si>
  <si>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</si>
  <si>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</si>
  <si>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</si>
  <si>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</si>
  <si>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</si>
  <si>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</si>
  <si>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</si>
  <si>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</si>
  <si>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</si>
  <si>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</si>
  <si>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</si>
  <si>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</si>
  <si>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</si>
  <si>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</si>
  <si>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</si>
  <si>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</si>
  <si>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</si>
  <si>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</si>
  <si>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</si>
  <si>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</si>
  <si>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</si>
  <si>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</si>
  <si>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</si>
  <si>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</si>
  <si>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</si>
  <si>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</si>
  <si>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</si>
  <si>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</si>
  <si>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</si>
  <si>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</si>
  <si>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</si>
  <si>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</si>
  <si>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</si>
  <si>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</si>
  <si>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</si>
  <si>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</si>
  <si>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</si>
  <si>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</si>
  <si>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</si>
  <si>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</si>
  <si>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</si>
  <si>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</si>
  <si>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</si>
  <si>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</si>
  <si>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</si>
  <si>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</si>
  <si>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</si>
  <si>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</si>
  <si>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</si>
  <si>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</si>
  <si>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</si>
  <si>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</si>
  <si>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</si>
  <si>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</si>
  <si>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</si>
  <si>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</si>
  <si>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</si>
  <si>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</si>
  <si>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</si>
  <si>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</si>
  <si>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</si>
  <si>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</si>
  <si>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</si>
  <si>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</si>
  <si>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</si>
  <si>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</si>
  <si>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</si>
  <si>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</si>
  <si>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</si>
  <si>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</si>
  <si>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</si>
  <si>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</si>
  <si>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</si>
  <si>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</si>
  <si>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</si>
  <si>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</si>
  <si>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</si>
  <si>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</si>
  <si>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</si>
  <si>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</si>
  <si>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</si>
  <si>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</si>
  <si>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</si>
  <si>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</si>
  <si>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</si>
  <si>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</si>
  <si>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</si>
  <si>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</si>
  <si>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</si>
  <si>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</si>
  <si>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</si>
  <si>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</si>
  <si>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</si>
  <si>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</si>
  <si>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</si>
  <si>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</si>
  <si>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</si>
  <si>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</si>
  <si>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</si>
  <si>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</si>
  <si>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</si>
  <si>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</si>
  <si>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</si>
  <si>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</si>
  <si>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</si>
  <si>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</si>
  <si>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</si>
  <si>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</si>
  <si>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</si>
  <si>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</si>
  <si>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</si>
  <si>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</si>
  <si>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</si>
  <si>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</si>
  <si>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</si>
  <si>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</si>
  <si>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</si>
  <si>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</si>
  <si>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</si>
  <si>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</si>
  <si>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</si>
  <si>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</si>
  <si>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</si>
  <si>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</si>
  <si>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</si>
  <si>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</si>
  <si>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</si>
  <si>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</si>
  <si>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</si>
  <si>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</si>
  <si>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</si>
  <si>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</si>
  <si>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</si>
  <si>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</si>
  <si>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</si>
  <si>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</si>
  <si>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</si>
  <si>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</si>
  <si>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</si>
  <si>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</si>
  <si>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</si>
  <si>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</si>
  <si>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</si>
  <si>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</si>
  <si>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</si>
  <si>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</si>
  <si>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</si>
  <si>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</si>
  <si>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</si>
  <si>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</si>
  <si>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</si>
  <si>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</si>
  <si>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</si>
  <si>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</si>
  <si>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</si>
  <si>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</si>
  <si>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</si>
  <si>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</si>
  <si>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</si>
  <si>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</si>
  <si>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</si>
  <si>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</si>
  <si>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</si>
  <si>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</si>
  <si>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</si>
  <si>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</si>
  <si>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</si>
  <si>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</si>
  <si>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</si>
  <si>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</si>
  <si>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</si>
  <si>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</si>
  <si>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</si>
  <si>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</si>
  <si>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</si>
  <si>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</si>
  <si>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</si>
  <si>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</si>
  <si>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</si>
  <si>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</si>
  <si>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</si>
  <si>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</si>
  <si>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</si>
  <si>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</si>
  <si>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</si>
  <si>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</si>
  <si>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</si>
  <si>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</si>
  <si>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</si>
  <si>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</si>
  <si>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</si>
  <si>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</si>
  <si>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</si>
  <si>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</si>
  <si>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</si>
  <si>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</si>
  <si>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</si>
  <si>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</si>
  <si>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</si>
  <si>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</si>
  <si>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</si>
  <si>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</si>
  <si>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</si>
  <si>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</si>
  <si>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</si>
  <si>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</si>
  <si>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</si>
  <si>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</si>
  <si>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</si>
  <si>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</si>
  <si>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</si>
  <si>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</si>
  <si>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</si>
  <si>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</si>
  <si>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</si>
  <si>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</si>
  <si>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</si>
  <si>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</si>
  <si>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</si>
  <si>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</si>
  <si>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</si>
  <si>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</si>
  <si>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</si>
  <si>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</si>
  <si>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</si>
  <si>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</si>
  <si>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</si>
  <si>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</si>
  <si>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</si>
  <si>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</si>
  <si>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</si>
  <si>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</si>
  <si>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</si>
  <si>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</si>
  <si>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</si>
  <si>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</si>
  <si>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</si>
  <si>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</si>
  <si>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</si>
  <si>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</si>
  <si>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</si>
  <si>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</si>
  <si>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</si>
  <si>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</si>
  <si>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</si>
  <si>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</si>
  <si>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</si>
  <si>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</si>
  <si>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</si>
  <si>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</si>
  <si>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</si>
  <si>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</si>
  <si>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</si>
  <si>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</si>
  <si>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</si>
  <si>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</si>
  <si>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</si>
  <si>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</si>
  <si>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</si>
  <si>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</si>
  <si>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</si>
  <si>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</si>
  <si>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</si>
  <si>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</si>
  <si>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</si>
  <si>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</si>
  <si>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</si>
  <si>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</si>
  <si>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</si>
  <si>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</si>
  <si>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</si>
  <si>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</si>
  <si>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</si>
  <si>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</si>
  <si>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</si>
  <si>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</si>
  <si>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</si>
  <si>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</si>
  <si>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</si>
  <si>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</si>
  <si>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</si>
  <si>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</si>
  <si>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</si>
  <si>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</si>
  <si>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</si>
  <si>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</si>
  <si>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</si>
  <si>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</si>
  <si>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</si>
  <si>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</si>
  <si>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</si>
  <si>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</si>
  <si>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</si>
  <si>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</si>
  <si>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</si>
  <si>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</si>
  <si>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</si>
  <si>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</si>
  <si>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</si>
  <si>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</si>
  <si>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</si>
  <si>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</si>
  <si>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</si>
  <si>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</si>
  <si>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</si>
  <si>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</si>
  <si>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</si>
  <si>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</si>
  <si>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</si>
  <si>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</si>
  <si>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</si>
  <si>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</si>
  <si>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</si>
  <si>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</si>
  <si>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</si>
  <si>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</si>
  <si>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</si>
  <si>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</si>
  <si>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</si>
  <si>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</si>
  <si>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</si>
  <si>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</si>
  <si>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</si>
  <si>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</si>
  <si>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</si>
  <si>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</si>
  <si>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</si>
  <si>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</si>
  <si>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</si>
  <si>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</si>
  <si>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</si>
  <si>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</si>
  <si>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</si>
  <si>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</si>
  <si>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</si>
  <si>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</si>
  <si>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</si>
  <si>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</si>
  <si>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</si>
  <si>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</si>
  <si>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</si>
  <si>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</si>
  <si>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</si>
  <si>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</si>
  <si>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</si>
  <si>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</si>
  <si>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</si>
  <si>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</si>
  <si>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</si>
  <si>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</si>
  <si>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</si>
  <si>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</si>
  <si>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</si>
  <si>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</si>
  <si>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</si>
  <si>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</si>
  <si>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</si>
  <si>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</si>
  <si>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</si>
  <si>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</si>
  <si>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</si>
  <si>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</si>
  <si>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</si>
  <si>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</si>
  <si>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</si>
  <si>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</si>
  <si>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</si>
  <si>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</si>
  <si>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</si>
  <si>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</si>
  <si>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</si>
  <si>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</si>
  <si>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</si>
  <si>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</si>
  <si>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</si>
  <si>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</si>
  <si>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</si>
  <si>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</si>
  <si>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</si>
  <si>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</si>
  <si>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</si>
  <si>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</si>
  <si>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</si>
  <si>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</si>
  <si>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</si>
  <si>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</si>
  <si>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</si>
  <si>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</si>
  <si>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</si>
  <si>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</si>
  <si>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</si>
  <si>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</si>
  <si>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</si>
  <si>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</si>
  <si>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</si>
  <si>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</si>
  <si>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</si>
  <si>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</si>
  <si>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</si>
  <si>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</si>
  <si>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</si>
  <si>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</si>
  <si>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</si>
  <si>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</si>
  <si>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</si>
  <si>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</si>
  <si>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</si>
  <si>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</si>
  <si>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</si>
  <si>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</si>
  <si>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</si>
  <si>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</si>
  <si>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</si>
  <si>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</si>
  <si>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</si>
  <si>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</si>
  <si>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</si>
  <si>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</si>
  <si>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</si>
  <si>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</si>
  <si>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</si>
  <si>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</si>
  <si>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</si>
  <si>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</si>
  <si>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</si>
  <si>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</si>
  <si>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</si>
  <si>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</si>
  <si>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</si>
  <si>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</si>
  <si>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</si>
  <si>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</si>
  <si>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</si>
  <si>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</si>
  <si>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</si>
  <si>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</si>
  <si>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</si>
  <si>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</si>
  <si>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</si>
  <si>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</si>
  <si>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</si>
  <si>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</si>
  <si>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</si>
  <si>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</si>
  <si>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</si>
  <si>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</si>
  <si>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</si>
  <si>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</si>
  <si>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</si>
  <si>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</si>
  <si>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</si>
  <si>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</si>
  <si>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</si>
  <si>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</si>
  <si>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</si>
  <si>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</si>
  <si>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</si>
  <si>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</si>
  <si>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</si>
  <si>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</si>
  <si>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</si>
  <si>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</si>
  <si>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</si>
  <si>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</si>
  <si>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</si>
  <si>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</si>
  <si>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</si>
  <si>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</si>
  <si>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</si>
  <si>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</si>
  <si>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</si>
  <si>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</si>
  <si>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</si>
  <si>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</si>
  <si>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</si>
  <si>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</si>
  <si>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</si>
  <si>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</si>
  <si>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</si>
  <si>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</si>
  <si>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</si>
  <si>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</si>
  <si>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</si>
  <si>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</si>
  <si>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</si>
  <si>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</si>
  <si>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</si>
  <si>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</si>
  <si>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</si>
  <si>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</si>
  <si>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</si>
  <si>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</si>
  <si>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</si>
  <si>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</si>
  <si>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</si>
  <si>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</si>
  <si>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</si>
  <si>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</si>
  <si>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</si>
  <si>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</si>
  <si>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</si>
  <si>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</si>
  <si>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</si>
  <si>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</si>
  <si>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</si>
  <si>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</si>
  <si>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</si>
  <si>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</si>
  <si>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</si>
  <si>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</si>
  <si>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</si>
  <si>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</si>
  <si>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</si>
  <si>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</si>
  <si>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</si>
  <si>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</si>
  <si>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</si>
  <si>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</si>
  <si>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</si>
  <si>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</si>
  <si>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</si>
  <si>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</si>
  <si>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</si>
  <si>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</si>
  <si>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</si>
  <si>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</si>
  <si>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</si>
  <si>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</si>
  <si>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</si>
  <si>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</si>
  <si>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</si>
  <si>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</si>
  <si>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</si>
  <si>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</si>
  <si>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</si>
  <si>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</si>
  <si>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</si>
  <si>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</si>
  <si>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</si>
  <si>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</si>
  <si>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</si>
  <si>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</si>
  <si>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</si>
  <si>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</si>
  <si>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</si>
  <si>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</si>
  <si>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</si>
  <si>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</si>
  <si>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</si>
  <si>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</si>
  <si>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</si>
  <si>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</si>
  <si>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</si>
  <si>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</si>
  <si>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</si>
  <si>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</si>
  <si>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</si>
  <si>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</si>
  <si>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</si>
  <si>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</si>
  <si>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</si>
  <si>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</si>
  <si>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</si>
  <si>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</si>
  <si>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</si>
  <si>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</si>
  <si>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</si>
  <si>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</si>
  <si>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</si>
  <si>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</si>
  <si>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</si>
  <si>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</si>
  <si>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</si>
  <si>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</si>
  <si>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</si>
  <si>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</si>
  <si>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</si>
  <si>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</si>
  <si>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</si>
  <si>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</si>
  <si>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</si>
  <si>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</si>
  <si>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</si>
  <si>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</si>
  <si>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</si>
  <si>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</si>
  <si>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</si>
  <si>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</si>
  <si>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</si>
  <si>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</si>
  <si>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</si>
  <si>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</si>
  <si>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</si>
  <si>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</si>
  <si>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</si>
  <si>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</si>
  <si>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</si>
  <si>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</si>
  <si>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</si>
  <si>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</si>
  <si>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</si>
  <si>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</si>
  <si>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</si>
  <si>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</si>
  <si>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</si>
  <si>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</si>
  <si>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</si>
  <si>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</si>
  <si>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</si>
  <si>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</si>
  <si>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</si>
  <si>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</si>
  <si>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</si>
  <si>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</si>
  <si>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</si>
  <si>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</si>
  <si>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</si>
  <si>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</si>
  <si>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</si>
  <si>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</si>
  <si>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</si>
  <si>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</si>
  <si>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</si>
  <si>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</si>
  <si>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</si>
  <si>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</si>
  <si>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</si>
  <si>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</si>
  <si>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</si>
  <si>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</si>
  <si>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</si>
  <si>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</si>
  <si>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</si>
  <si>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</si>
  <si>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</si>
  <si>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</si>
  <si>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</si>
  <si>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</si>
  <si>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</si>
  <si>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</si>
  <si>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</si>
  <si>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</si>
  <si>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</si>
  <si>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</si>
  <si>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</si>
  <si>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</si>
  <si>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</si>
  <si>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</si>
  <si>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</si>
  <si>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</si>
  <si>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</si>
  <si>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</si>
  <si>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</si>
  <si>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</si>
  <si>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</si>
  <si>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</si>
  <si>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</si>
  <si>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</si>
  <si>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</si>
  <si>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</si>
  <si>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</si>
  <si>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</si>
  <si>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</si>
  <si>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</si>
  <si>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</si>
  <si>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</si>
  <si>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</si>
  <si>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</si>
  <si>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</si>
  <si>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</si>
  <si>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</si>
  <si>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</si>
  <si>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</si>
  <si>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</si>
  <si>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</si>
  <si>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</si>
  <si>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</si>
  <si>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</si>
  <si>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</si>
  <si>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</si>
  <si>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</si>
  <si>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</si>
  <si>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</si>
  <si>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</si>
  <si>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</si>
  <si>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</si>
  <si>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</si>
  <si>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</si>
  <si>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</si>
  <si>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</si>
  <si>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</si>
  <si>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</si>
  <si>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</si>
  <si>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</si>
  <si>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</si>
  <si>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</si>
  <si>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</si>
  <si>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</si>
  <si>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</si>
  <si>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</si>
  <si>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</si>
  <si>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</si>
  <si>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</si>
  <si>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</si>
  <si>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</si>
  <si>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</si>
  <si>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</si>
  <si>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</si>
  <si>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</si>
  <si>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</si>
  <si>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</si>
  <si>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</si>
  <si>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</si>
  <si>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</si>
  <si>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</si>
  <si>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</si>
  <si>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</si>
  <si>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</si>
  <si>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</si>
  <si>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</si>
  <si>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</si>
  <si>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</si>
  <si>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</si>
  <si>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</si>
  <si>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</si>
  <si>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</si>
  <si>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</si>
  <si>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</si>
  <si>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</si>
  <si>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</si>
  <si>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</si>
  <si>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</si>
  <si>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</si>
  <si>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</si>
  <si>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</si>
  <si>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</si>
  <si>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</si>
  <si>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</si>
  <si>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</si>
  <si>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</si>
  <si>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</si>
  <si>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</si>
  <si>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</si>
  <si>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</si>
  <si>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</si>
  <si>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</si>
  <si>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</si>
  <si>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</si>
  <si>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</si>
  <si>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</si>
  <si>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</si>
  <si>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</si>
  <si>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</si>
  <si>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</si>
  <si>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</si>
  <si>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</si>
  <si>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</si>
  <si>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</si>
  <si>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</si>
  <si>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</si>
  <si>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</si>
  <si>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</si>
  <si>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</si>
  <si>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</si>
  <si>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</si>
  <si>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</si>
  <si>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</si>
  <si>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</si>
  <si>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</si>
  <si>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</si>
  <si>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</si>
  <si>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</si>
  <si>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</si>
  <si>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</si>
  <si>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</si>
  <si>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</si>
  <si>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</si>
  <si>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</si>
  <si>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</si>
  <si>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</si>
  <si>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</si>
  <si>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</si>
  <si>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</si>
  <si>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</si>
  <si>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</si>
  <si>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</si>
  <si>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</si>
  <si>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</si>
  <si>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</si>
  <si>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</si>
  <si>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</si>
  <si>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</si>
  <si>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</si>
  <si>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</si>
  <si>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</si>
  <si>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</si>
  <si>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</si>
  <si>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</si>
  <si>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</si>
  <si>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</si>
  <si>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</si>
  <si>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</si>
  <si>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</si>
  <si>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</si>
  <si>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</si>
  <si>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</si>
  <si>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</si>
  <si>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</si>
  <si>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</si>
  <si>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</si>
  <si>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</si>
  <si>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</si>
  <si>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</si>
  <si>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</si>
  <si>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</si>
  <si>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</si>
  <si>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</si>
  <si>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</si>
  <si>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</si>
  <si>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</si>
  <si>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</si>
  <si>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</si>
  <si>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</si>
  <si>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</si>
  <si>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</si>
  <si>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</si>
  <si>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</si>
  <si>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</si>
  <si>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</si>
  <si>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</si>
  <si>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</si>
  <si>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</si>
  <si>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</si>
  <si>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</si>
  <si>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</si>
  <si>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</si>
  <si>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</si>
  <si>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</si>
  <si>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</si>
  <si>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</si>
  <si>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</si>
  <si>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</si>
  <si>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</si>
  <si>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</si>
  <si>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</si>
  <si>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</si>
  <si>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</si>
  <si>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</si>
  <si>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</si>
  <si>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</si>
  <si>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</si>
  <si>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</si>
  <si>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</si>
  <si>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</si>
  <si>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</si>
  <si>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</si>
  <si>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</si>
  <si>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</si>
  <si>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</si>
  <si>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</si>
  <si>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</si>
  <si>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</si>
  <si>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</si>
  <si>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</si>
  <si>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</si>
  <si>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</si>
  <si>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</si>
  <si>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</si>
  <si>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</si>
  <si>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</si>
  <si>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</si>
  <si>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</si>
  <si>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</si>
  <si>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</si>
  <si>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</si>
  <si>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</si>
  <si>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</si>
  <si>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</si>
  <si>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</si>
  <si>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</si>
  <si>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</si>
  <si>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</si>
  <si>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</si>
  <si>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</si>
  <si>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</si>
  <si>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</si>
  <si>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</si>
  <si>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</si>
  <si>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</si>
  <si>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</si>
  <si>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</si>
  <si>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</si>
  <si>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</si>
  <si>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</si>
  <si>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</si>
  <si>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</si>
  <si>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</si>
  <si>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</si>
  <si>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</si>
  <si>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</si>
  <si>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</si>
  <si>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</si>
  <si>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</si>
  <si>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</si>
  <si>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</si>
  <si>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</si>
  <si>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</si>
  <si>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</si>
  <si>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</si>
  <si>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</si>
  <si>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</si>
  <si>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</si>
  <si>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</si>
  <si>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</si>
  <si>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</si>
  <si>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</si>
  <si>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</si>
  <si>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</si>
  <si>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</si>
  <si>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</si>
  <si>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</si>
  <si>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</si>
  <si>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</si>
  <si>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</si>
  <si>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</si>
  <si>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</si>
  <si>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</si>
  <si>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</si>
  <si>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</si>
  <si>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</si>
  <si>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</si>
  <si>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</si>
  <si>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</si>
  <si>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</si>
  <si>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</si>
  <si>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</si>
  <si>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</si>
  <si>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</si>
  <si>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</si>
  <si>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</si>
  <si>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</si>
  <si>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</si>
  <si>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</si>
  <si>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</si>
  <si>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</si>
  <si>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</si>
  <si>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SUCIPTO ARIEF WIBOWO</t>
  </si>
  <si>
    <t>PEKERJAAN PEMASANGAN APP</t>
  </si>
  <si>
    <t xml:space="preserve">KOORDINAT : </t>
  </si>
  <si>
    <t>SURVEY KAMIS 12 OKT 2023</t>
  </si>
  <si>
    <t>PWI 11</t>
  </si>
  <si>
    <t>PEKERJAAN PEMBONGKARAN APP</t>
  </si>
  <si>
    <t>Wirosari,  November 2023</t>
  </si>
  <si>
    <t>PUSKESMAS GABUS 1</t>
  </si>
  <si>
    <t>S2</t>
  </si>
  <si>
    <t>JL SULURSARI GABUS</t>
  </si>
  <si>
    <t>Daya 33.000 VA</t>
  </si>
  <si>
    <t>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</si>
</sst>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  <numFmt numFmtId="206" formatCode="&quot;$&quot;#,##0.00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0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43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7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8" fontId="33" fillId="0" borderId="0" applyFont="0" applyFill="0" applyBorder="0" applyAlignment="0" applyProtection="0"/>
    <xf numFmtId="178" fontId="19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68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179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180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0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4" fillId="0" borderId="0" applyFont="0" applyFill="0" applyBorder="0" applyAlignment="0" applyProtection="0"/>
    <xf numFmtId="18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204" fontId="19" fillId="0" borderId="0" applyFont="0" applyFill="0" applyBorder="0" applyAlignment="0" applyProtection="0"/>
    <xf numFmtId="20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4" fontId="33" fillId="0" borderId="3"/>
    <xf numFmtId="184" fontId="19" fillId="0" borderId="3"/>
    <xf numFmtId="42" fontId="20" fillId="0" borderId="0" applyFont="0" applyFill="0" applyBorder="0" applyAlignment="0" applyProtection="0"/>
    <xf numFmtId="42" fontId="45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67" fillId="0" borderId="0" applyFont="0" applyFill="0" applyBorder="0" applyAlignment="0" applyProtection="0"/>
    <xf numFmtId="186" fontId="69" fillId="0" borderId="0">
      <protection locked="0"/>
    </xf>
    <xf numFmtId="14" fontId="61" fillId="0" borderId="0" applyFill="0" applyBorder="0" applyAlignment="0"/>
    <xf numFmtId="187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5" fontId="33" fillId="0" borderId="0" applyFill="0" applyBorder="0" applyAlignment="0"/>
    <xf numFmtId="175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88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89" fontId="74" fillId="0" borderId="0">
      <protection locked="0"/>
    </xf>
    <xf numFmtId="189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5" fontId="33" fillId="0" borderId="0" applyFill="0" applyBorder="0" applyAlignment="0"/>
    <xf numFmtId="175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0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1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1" fontId="33" fillId="0" borderId="0"/>
    <xf numFmtId="191" fontId="19" fillId="0" borderId="0"/>
    <xf numFmtId="191" fontId="33" fillId="0" borderId="0"/>
    <xf numFmtId="191" fontId="19" fillId="0" borderId="0"/>
    <xf numFmtId="191" fontId="33" fillId="0" borderId="0"/>
    <xf numFmtId="191" fontId="19" fillId="0" borderId="0"/>
    <xf numFmtId="191" fontId="19" fillId="0" borderId="0"/>
    <xf numFmtId="191" fontId="33" fillId="0" borderId="0"/>
    <xf numFmtId="170" fontId="80" fillId="0" borderId="0"/>
    <xf numFmtId="170" fontId="81" fillId="0" borderId="0"/>
    <xf numFmtId="170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2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0" fontId="81" fillId="0" borderId="0"/>
    <xf numFmtId="0" fontId="81" fillId="0" borderId="0"/>
    <xf numFmtId="193" fontId="81" fillId="0" borderId="0"/>
    <xf numFmtId="194" fontId="81" fillId="0" borderId="0"/>
    <xf numFmtId="0" fontId="81" fillId="0" borderId="0"/>
    <xf numFmtId="195" fontId="81" fillId="0" borderId="0"/>
    <xf numFmtId="195" fontId="81" fillId="0" borderId="0"/>
    <xf numFmtId="195" fontId="81" fillId="0" borderId="0"/>
    <xf numFmtId="193" fontId="81" fillId="0" borderId="0"/>
    <xf numFmtId="0" fontId="81" fillId="0" borderId="0"/>
    <xf numFmtId="0" fontId="33" fillId="0" borderId="0"/>
    <xf numFmtId="0" fontId="19" fillId="0" borderId="0"/>
    <xf numFmtId="180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6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5" fontId="81" fillId="0" borderId="0"/>
    <xf numFmtId="195" fontId="81" fillId="0" borderId="0"/>
    <xf numFmtId="195" fontId="81" fillId="0" borderId="0"/>
    <xf numFmtId="195" fontId="81" fillId="0" borderId="0"/>
    <xf numFmtId="197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2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2" fontId="40" fillId="0" borderId="0"/>
    <xf numFmtId="192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4" fontId="33" fillId="0" borderId="0" applyFont="0" applyFill="0" applyBorder="0" applyAlignment="0" applyProtection="0"/>
    <xf numFmtId="174" fontId="19" fillId="0" borderId="0" applyFont="0" applyFill="0" applyBorder="0" applyAlignment="0" applyProtection="0"/>
    <xf numFmtId="198" fontId="33" fillId="0" borderId="0" applyFont="0" applyFill="0" applyBorder="0" applyAlignment="0" applyProtection="0"/>
    <xf numFmtId="198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5" fontId="33" fillId="0" borderId="0" applyFill="0" applyBorder="0" applyAlignment="0"/>
    <xf numFmtId="175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71" fillId="0" borderId="0"/>
    <xf numFmtId="199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0" fontId="33" fillId="0" borderId="0" applyFill="0" applyBorder="0" applyAlignment="0"/>
    <xf numFmtId="200" fontId="19" fillId="0" borderId="0" applyFill="0" applyBorder="0" applyAlignment="0"/>
    <xf numFmtId="201" fontId="33" fillId="0" borderId="0" applyFill="0" applyBorder="0" applyAlignment="0"/>
    <xf numFmtId="201" fontId="19" fillId="0" borderId="0" applyFill="0" applyBorder="0" applyAlignment="0"/>
    <xf numFmtId="202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164" fontId="19" fillId="0" borderId="0" applyFont="0" applyFill="0" applyBorder="0" applyAlignment="0" applyProtection="0"/>
    <xf numFmtId="9" fontId="160" fillId="0" borderId="0" applyFont="0" applyFill="0" applyBorder="0" applyAlignment="0" applyProtection="0"/>
    <xf numFmtId="164" fontId="172" fillId="0" borderId="0" applyFont="0" applyFill="0" applyBorder="0" applyAlignment="0" applyProtection="0"/>
    <xf numFmtId="0" fontId="19" fillId="0" borderId="0"/>
    <xf numFmtId="0" fontId="174" fillId="0" borderId="0" applyNumberFormat="0" applyFill="0" applyBorder="0" applyAlignment="0" applyProtection="0"/>
  </cellStyleXfs>
  <cellXfs count="702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41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41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41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43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7" fontId="42" fillId="0" borderId="0" xfId="714" applyFont="1" applyFill="1" applyAlignment="1">
      <alignment horizontal="center" wrapText="1"/>
    </xf>
    <xf numFmtId="167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7" fontId="42" fillId="0" borderId="21" xfId="715" applyNumberFormat="1" applyFont="1" applyFill="1" applyBorder="1" applyAlignment="1">
      <alignment horizontal="center" vertical="center" wrapText="1"/>
    </xf>
    <xf numFmtId="167" fontId="42" fillId="0" borderId="21" xfId="714" applyFont="1" applyFill="1" applyBorder="1" applyAlignment="1">
      <alignment horizontal="center" vertical="center" wrapText="1"/>
    </xf>
    <xf numFmtId="167" fontId="42" fillId="0" borderId="33" xfId="714" applyFont="1" applyFill="1" applyBorder="1" applyAlignment="1">
      <alignment horizontal="center" vertical="center" wrapText="1"/>
    </xf>
    <xf numFmtId="43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43" fontId="41" fillId="0" borderId="0" xfId="1615" applyNumberFormat="1" applyFont="1" applyAlignment="1">
      <alignment horizontal="left" vertical="center"/>
    </xf>
    <xf numFmtId="43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5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41" fontId="93" fillId="0" borderId="0" xfId="1448" applyNumberFormat="1" applyFont="1" applyAlignment="1">
      <alignment wrapText="1"/>
    </xf>
    <xf numFmtId="41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7" fontId="42" fillId="0" borderId="21" xfId="717" applyNumberFormat="1" applyFont="1" applyFill="1" applyBorder="1" applyAlignment="1" applyProtection="1">
      <alignment horizontal="center" vertical="center" wrapText="1"/>
    </xf>
    <xf numFmtId="41" fontId="42" fillId="0" borderId="21" xfId="1451" applyNumberFormat="1" applyFont="1" applyBorder="1" applyAlignment="1">
      <alignment horizontal="center" vertical="center" wrapText="1"/>
    </xf>
    <xf numFmtId="167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7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7" fontId="42" fillId="0" borderId="21" xfId="728" applyFont="1" applyFill="1" applyBorder="1" applyAlignment="1">
      <alignment horizontal="center" vertical="center" wrapText="1"/>
    </xf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28" xfId="1451" applyFont="1" applyBorder="1"/>
    <xf numFmtId="0" fontId="119" fillId="0" borderId="37" xfId="1451" applyFont="1" applyBorder="1"/>
    <xf numFmtId="0" fontId="114" fillId="0" borderId="37" xfId="1451" applyFont="1" applyBorder="1" applyAlignment="1">
      <alignment vertical="center"/>
    </xf>
    <xf numFmtId="0" fontId="119" fillId="0" borderId="34" xfId="1451" applyFont="1" applyBorder="1"/>
    <xf numFmtId="0" fontId="119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7" fontId="41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43" fontId="127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13" fillId="33" borderId="0" xfId="0" applyFont="1" applyFill="1" applyAlignment="1">
      <alignment horizontal="center"/>
    </xf>
    <xf numFmtId="0" fontId="113" fillId="33" borderId="26" xfId="0" applyFont="1" applyFill="1" applyBorder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35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/>
    </xf>
    <xf numFmtId="0" fontId="90" fillId="33" borderId="68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7" fillId="33" borderId="69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7" fillId="33" borderId="7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8" fillId="33" borderId="71" xfId="0" applyFont="1" applyFill="1" applyBorder="1" applyAlignment="1">
      <alignment horizontal="center" vertical="top" wrapText="1"/>
    </xf>
    <xf numFmtId="0" fontId="118" fillId="33" borderId="72" xfId="0" applyFont="1" applyFill="1" applyBorder="1" applyAlignment="1">
      <alignment horizontal="center" vertical="top" wrapText="1"/>
    </xf>
    <xf numFmtId="0" fontId="113" fillId="33" borderId="0" xfId="0" applyFont="1" applyFill="1" applyAlignment="1">
      <alignment vertical="top" wrapText="1"/>
    </xf>
    <xf numFmtId="0" fontId="113" fillId="33" borderId="37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3" fillId="33" borderId="43" xfId="0" applyFont="1" applyFill="1" applyBorder="1" applyAlignment="1">
      <alignment vertical="top" wrapText="1"/>
    </xf>
    <xf numFmtId="0" fontId="113" fillId="33" borderId="44" xfId="0" applyFont="1" applyFill="1" applyBorder="1" applyAlignment="1">
      <alignment vertical="top" wrapText="1"/>
    </xf>
    <xf numFmtId="0" fontId="113" fillId="33" borderId="45" xfId="0" applyFont="1" applyFill="1" applyBorder="1" applyAlignment="1">
      <alignment vertical="top" wrapText="1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3" fillId="33" borderId="39" xfId="0" applyFont="1" applyFill="1" applyBorder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42" xfId="0" applyFont="1" applyFill="1" applyBorder="1" applyAlignment="1">
      <alignment horizontal="center" vertical="center" wrapText="1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45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41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4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right" vertical="center"/>
    </xf>
    <xf numFmtId="9" fontId="144" fillId="36" borderId="0" xfId="2671" applyFont="1" applyFill="1" applyBorder="1" applyAlignment="1" applyProtection="1">
      <alignment horizontal="right" vertical="center"/>
    </xf>
    <xf numFmtId="43" fontId="143" fillId="36" borderId="0" xfId="2672" applyFont="1" applyFill="1" applyBorder="1" applyAlignment="1" applyProtection="1">
      <alignment horizontal="right" vertical="center"/>
    </xf>
    <xf numFmtId="43" fontId="144" fillId="36" borderId="0" xfId="2672" applyFont="1" applyFill="1" applyBorder="1" applyAlignment="1" applyProtection="1">
      <alignment horizontal="right" vertical="center"/>
    </xf>
    <xf numFmtId="10" fontId="144" fillId="36" borderId="0" xfId="2671" applyNumberFormat="1" applyFont="1" applyFill="1" applyBorder="1" applyAlignment="1" applyProtection="1">
      <alignment horizontal="right" vertical="center"/>
    </xf>
    <xf numFmtId="167" fontId="143" fillId="36" borderId="0" xfId="2672" applyNumberFormat="1" applyFont="1" applyFill="1" applyBorder="1" applyAlignment="1" applyProtection="1">
      <alignment horizontal="right" vertical="center"/>
    </xf>
    <xf numFmtId="0" fontId="137" fillId="0" borderId="0" xfId="2670" applyFont="1" applyAlignment="1">
      <alignment horizontal="left" vertical="center"/>
    </xf>
    <xf numFmtId="0" fontId="140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0" fillId="0" borderId="0" xfId="1538"/>
    <xf numFmtId="43" fontId="110" fillId="0" borderId="0" xfId="1538" applyNumberFormat="1"/>
    <xf numFmtId="0" fontId="59" fillId="0" borderId="0" xfId="1538" applyFont="1"/>
    <xf numFmtId="0" fontId="126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43" fontId="0" fillId="0" borderId="3" xfId="1026" applyFont="1" applyFill="1" applyBorder="1" applyProtection="1"/>
    <xf numFmtId="43" fontId="110" fillId="0" borderId="3" xfId="1538" applyNumberFormat="1" applyBorder="1"/>
    <xf numFmtId="43" fontId="138" fillId="0" borderId="3" xfId="1026" applyFont="1" applyBorder="1" applyProtection="1"/>
    <xf numFmtId="43" fontId="0" fillId="0" borderId="3" xfId="1026" applyFont="1" applyBorder="1" applyProtection="1"/>
    <xf numFmtId="43" fontId="126" fillId="0" borderId="3" xfId="1538" applyNumberFormat="1" applyFont="1" applyBorder="1"/>
    <xf numFmtId="0" fontId="59" fillId="0" borderId="3" xfId="1538" applyFont="1" applyBorder="1"/>
    <xf numFmtId="41" fontId="110" fillId="0" borderId="3" xfId="1538" applyNumberFormat="1" applyBorder="1"/>
    <xf numFmtId="43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43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43" fontId="47" fillId="0" borderId="0" xfId="1538" applyNumberFormat="1" applyFont="1"/>
    <xf numFmtId="0" fontId="110" fillId="29" borderId="3" xfId="1538" applyFill="1" applyBorder="1"/>
    <xf numFmtId="167" fontId="110" fillId="29" borderId="3" xfId="1538" applyNumberFormat="1" applyFill="1" applyBorder="1" applyAlignment="1">
      <alignment horizontal="right"/>
    </xf>
    <xf numFmtId="165" fontId="110" fillId="0" borderId="0" xfId="1538" applyNumberFormat="1"/>
    <xf numFmtId="43" fontId="110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7" fillId="0" borderId="0" xfId="1614" applyFont="1" applyAlignment="1">
      <alignment horizontal="center"/>
    </xf>
    <xf numFmtId="0" fontId="148" fillId="0" borderId="0" xfId="1614" applyFont="1" applyAlignment="1">
      <alignment horizontal="center" vertical="center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3" fontId="147" fillId="0" borderId="0" xfId="1614" applyNumberFormat="1" applyFont="1" applyAlignment="1">
      <alignment horizontal="center"/>
    </xf>
    <xf numFmtId="0" fontId="152" fillId="0" borderId="0" xfId="1614" applyFont="1"/>
    <xf numFmtId="43" fontId="152" fillId="0" borderId="0" xfId="1652" applyNumberFormat="1" applyFont="1"/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left" vertical="center"/>
    </xf>
    <xf numFmtId="0" fontId="152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0" fontId="152" fillId="0" borderId="0" xfId="1614" applyFont="1" applyAlignment="1">
      <alignment horizontal="center" vertical="center" wrapText="1"/>
    </xf>
    <xf numFmtId="0" fontId="149" fillId="0" borderId="0" xfId="1614" applyFont="1" applyAlignment="1">
      <alignment horizontal="center" vertical="center" wrapText="1"/>
    </xf>
    <xf numFmtId="3" fontId="148" fillId="0" borderId="0" xfId="1614" applyNumberFormat="1" applyFont="1" applyAlignment="1">
      <alignment vertical="center"/>
    </xf>
    <xf numFmtId="0" fontId="149" fillId="0" borderId="20" xfId="1615" applyFont="1" applyBorder="1" applyAlignment="1">
      <alignment horizontal="center" vertical="center"/>
    </xf>
    <xf numFmtId="0" fontId="149" fillId="0" borderId="21" xfId="1615" applyFont="1" applyBorder="1" applyAlignment="1">
      <alignment horizontal="left" vertical="center" wrapText="1"/>
    </xf>
    <xf numFmtId="0" fontId="148" fillId="0" borderId="21" xfId="1614" applyFont="1" applyBorder="1" applyAlignment="1">
      <alignment horizontal="center" vertical="center" wrapText="1"/>
    </xf>
    <xf numFmtId="0" fontId="155" fillId="0" borderId="21" xfId="1614" applyFont="1" applyBorder="1" applyAlignment="1">
      <alignment horizontal="center" vertical="center"/>
    </xf>
    <xf numFmtId="3" fontId="155" fillId="0" borderId="21" xfId="1614" applyNumberFormat="1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8" fillId="0" borderId="22" xfId="1614" applyNumberFormat="1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/>
    </xf>
    <xf numFmtId="3" fontId="147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0" fillId="0" borderId="21" xfId="1653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5" fillId="0" borderId="21" xfId="1652" applyFont="1" applyBorder="1" applyAlignment="1">
      <alignment horizontal="center" vertical="center"/>
    </xf>
    <xf numFmtId="0" fontId="155" fillId="0" borderId="49" xfId="1652" applyFont="1" applyBorder="1" applyAlignment="1">
      <alignment horizontal="center" vertical="center"/>
    </xf>
    <xf numFmtId="0" fontId="155" fillId="0" borderId="3" xfId="1652" applyFont="1" applyBorder="1" applyAlignment="1">
      <alignment vertical="center" wrapText="1"/>
    </xf>
    <xf numFmtId="0" fontId="148" fillId="0" borderId="3" xfId="1614" applyFont="1" applyBorder="1" applyAlignment="1">
      <alignment horizontal="center" vertical="center" wrapText="1"/>
    </xf>
    <xf numFmtId="0" fontId="155" fillId="0" borderId="3" xfId="1614" applyFont="1" applyBorder="1" applyAlignment="1">
      <alignment horizontal="center" vertical="center"/>
    </xf>
    <xf numFmtId="0" fontId="155" fillId="0" borderId="3" xfId="1652" applyFont="1" applyBorder="1" applyAlignment="1">
      <alignment horizontal="center" vertical="center"/>
    </xf>
    <xf numFmtId="205" fontId="155" fillId="0" borderId="3" xfId="1614" applyNumberFormat="1" applyFont="1" applyBorder="1" applyAlignment="1">
      <alignment horizontal="center" vertical="center"/>
    </xf>
    <xf numFmtId="3" fontId="148" fillId="0" borderId="3" xfId="1614" applyNumberFormat="1" applyFont="1" applyBorder="1" applyAlignment="1">
      <alignment horizontal="center" vertical="center"/>
    </xf>
    <xf numFmtId="3" fontId="148" fillId="0" borderId="39" xfId="1614" applyNumberFormat="1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8" fillId="0" borderId="23" xfId="1614" applyFont="1" applyBorder="1" applyAlignment="1">
      <alignment horizontal="center" vertical="center"/>
    </xf>
    <xf numFmtId="0" fontId="148" fillId="0" borderId="24" xfId="1614" applyFont="1" applyBorder="1" applyAlignment="1">
      <alignment horizontal="left" vertical="center"/>
    </xf>
    <xf numFmtId="0" fontId="148" fillId="0" borderId="24" xfId="1614" applyFont="1" applyBorder="1" applyAlignment="1">
      <alignment vertical="center"/>
    </xf>
    <xf numFmtId="0" fontId="155" fillId="0" borderId="24" xfId="1614" applyFont="1" applyBorder="1" applyAlignment="1">
      <alignment horizontal="center" vertical="center"/>
    </xf>
    <xf numFmtId="3" fontId="148" fillId="0" borderId="24" xfId="1614" applyNumberFormat="1" applyFont="1" applyBorder="1" applyAlignment="1">
      <alignment horizontal="center" vertical="center"/>
    </xf>
    <xf numFmtId="3" fontId="148" fillId="0" borderId="25" xfId="1614" applyNumberFormat="1" applyFont="1" applyBorder="1" applyAlignment="1">
      <alignment horizontal="center" vertical="center"/>
    </xf>
    <xf numFmtId="0" fontId="150" fillId="0" borderId="26" xfId="1614" applyFont="1" applyBorder="1" applyAlignment="1">
      <alignment horizontal="center" vertical="center"/>
    </xf>
    <xf numFmtId="37" fontId="152" fillId="0" borderId="27" xfId="1614" applyNumberFormat="1" applyFont="1" applyBorder="1" applyAlignment="1">
      <alignment horizontal="center"/>
    </xf>
    <xf numFmtId="37" fontId="150" fillId="0" borderId="27" xfId="1614" applyNumberFormat="1" applyFont="1" applyBorder="1" applyAlignment="1">
      <alignment horizontal="center"/>
    </xf>
    <xf numFmtId="0" fontId="150" fillId="0" borderId="28" xfId="1614" applyFont="1" applyBorder="1" applyAlignment="1">
      <alignment horizontal="center" vertical="center"/>
    </xf>
    <xf numFmtId="37" fontId="152" fillId="0" borderId="29" xfId="1614" applyNumberFormat="1" applyFont="1" applyBorder="1" applyAlignment="1">
      <alignment horizontal="center"/>
    </xf>
    <xf numFmtId="37" fontId="150" fillId="0" borderId="29" xfId="1614" applyNumberFormat="1" applyFont="1" applyBorder="1" applyAlignment="1">
      <alignment horizontal="center"/>
    </xf>
    <xf numFmtId="37" fontId="156" fillId="0" borderId="30" xfId="1614" applyNumberFormat="1" applyFont="1" applyBorder="1" applyAlignment="1">
      <alignment horizontal="center"/>
    </xf>
    <xf numFmtId="37" fontId="156" fillId="0" borderId="32" xfId="1614" applyNumberFormat="1" applyFont="1" applyBorder="1" applyAlignment="1">
      <alignment horizontal="center"/>
    </xf>
    <xf numFmtId="0" fontId="156" fillId="0" borderId="34" xfId="1614" applyFont="1" applyBorder="1" applyAlignment="1">
      <alignment vertical="center"/>
    </xf>
    <xf numFmtId="0" fontId="150" fillId="0" borderId="19" xfId="1614" applyFont="1" applyBorder="1"/>
    <xf numFmtId="0" fontId="150" fillId="0" borderId="19" xfId="1614" applyFont="1" applyBorder="1" applyAlignment="1">
      <alignment horizontal="center"/>
    </xf>
    <xf numFmtId="0" fontId="150" fillId="0" borderId="19" xfId="1614" applyFont="1" applyBorder="1" applyAlignment="1">
      <alignment horizontal="right"/>
    </xf>
    <xf numFmtId="0" fontId="150" fillId="0" borderId="31" xfId="1614" applyFont="1" applyBorder="1" applyAlignment="1">
      <alignment horizontal="right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41" fontId="155" fillId="0" borderId="0" xfId="1652" applyNumberFormat="1" applyFont="1" applyAlignment="1">
      <alignment vertical="center"/>
    </xf>
    <xf numFmtId="0" fontId="150" fillId="0" borderId="0" xfId="1652" applyFont="1" applyAlignment="1">
      <alignment horizontal="right"/>
    </xf>
    <xf numFmtId="0" fontId="157" fillId="0" borderId="0" xfId="1644" applyFont="1" applyAlignment="1">
      <alignment horizontal="center" vertical="center"/>
    </xf>
    <xf numFmtId="0" fontId="155" fillId="0" borderId="0" xfId="1652" applyFont="1" applyAlignment="1">
      <alignment vertical="center"/>
    </xf>
    <xf numFmtId="0" fontId="158" fillId="39" borderId="83" xfId="2670" applyFont="1" applyFill="1" applyBorder="1" applyAlignment="1">
      <alignment horizontal="left" vertical="center"/>
    </xf>
    <xf numFmtId="0" fontId="158" fillId="39" borderId="84" xfId="2670" applyFont="1" applyFill="1" applyBorder="1" applyAlignment="1">
      <alignment horizontal="center" vertical="center"/>
    </xf>
    <xf numFmtId="0" fontId="158" fillId="39" borderId="86" xfId="2670" applyFont="1" applyFill="1" applyBorder="1" applyAlignment="1">
      <alignment horizontal="left" vertical="center"/>
    </xf>
    <xf numFmtId="0" fontId="158" fillId="39" borderId="82" xfId="2670" applyFont="1" applyFill="1" applyBorder="1" applyAlignment="1">
      <alignment horizontal="center" vertical="center"/>
    </xf>
    <xf numFmtId="0" fontId="158" fillId="39" borderId="88" xfId="2670" applyFont="1" applyFill="1" applyBorder="1" applyAlignment="1">
      <alignment horizontal="left" vertical="center"/>
    </xf>
    <xf numFmtId="0" fontId="158" fillId="39" borderId="89" xfId="2670" applyFont="1" applyFill="1" applyBorder="1" applyAlignment="1">
      <alignment horizontal="center" vertical="center"/>
    </xf>
    <xf numFmtId="43" fontId="139" fillId="40" borderId="85" xfId="2672" applyFont="1" applyFill="1" applyBorder="1" applyAlignment="1" applyProtection="1">
      <alignment horizontal="right" vertical="center" wrapText="1"/>
      <protection locked="0"/>
    </xf>
    <xf numFmtId="43" fontId="139" fillId="40" borderId="87" xfId="2672" applyFont="1" applyFill="1" applyBorder="1" applyAlignment="1" applyProtection="1">
      <alignment horizontal="right" vertical="center"/>
      <protection locked="0"/>
    </xf>
    <xf numFmtId="167" fontId="139" fillId="40" borderId="87" xfId="2672" applyNumberFormat="1" applyFont="1" applyFill="1" applyBorder="1" applyAlignment="1" applyProtection="1">
      <alignment horizontal="right" vertical="center"/>
      <protection locked="0"/>
    </xf>
    <xf numFmtId="167" fontId="139" fillId="40" borderId="90" xfId="2672" applyNumberFormat="1" applyFont="1" applyFill="1" applyBorder="1" applyAlignment="1" applyProtection="1">
      <alignment horizontal="right" vertical="center"/>
      <protection locked="0"/>
    </xf>
    <xf numFmtId="0" fontId="119" fillId="0" borderId="0" xfId="1451" applyFont="1"/>
    <xf numFmtId="0" fontId="120" fillId="0" borderId="0" xfId="1451" applyFont="1" applyAlignment="1">
      <alignment vertical="center"/>
    </xf>
    <xf numFmtId="0" fontId="146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4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121" fillId="35" borderId="0" xfId="1451" applyFont="1" applyFill="1" applyAlignment="1">
      <alignment vertical="center"/>
    </xf>
    <xf numFmtId="0" fontId="124" fillId="0" borderId="19" xfId="1451" applyFont="1" applyBorder="1" applyAlignment="1">
      <alignment horizontal="center"/>
    </xf>
    <xf numFmtId="0" fontId="124" fillId="0" borderId="19" xfId="1451" applyFont="1" applyBorder="1"/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2" xfId="2673" applyFont="1" applyBorder="1" applyAlignment="1">
      <alignment horizontal="center" vertical="center" wrapText="1"/>
    </xf>
    <xf numFmtId="0" fontId="162" fillId="0" borderId="0" xfId="2673" applyFont="1" applyAlignment="1">
      <alignment horizontal="center" vertical="center" wrapText="1"/>
    </xf>
    <xf numFmtId="0" fontId="163" fillId="0" borderId="0" xfId="2673" applyFont="1" applyAlignment="1">
      <alignment vertical="center" wrapText="1"/>
    </xf>
    <xf numFmtId="0" fontId="164" fillId="0" borderId="0" xfId="2673" applyFont="1" applyAlignment="1">
      <alignment vertical="center" wrapText="1"/>
    </xf>
    <xf numFmtId="0" fontId="145" fillId="35" borderId="94" xfId="2673" applyFont="1" applyFill="1" applyBorder="1" applyAlignment="1">
      <alignment vertical="center" wrapText="1"/>
    </xf>
    <xf numFmtId="0" fontId="145" fillId="43" borderId="94" xfId="2673" applyFont="1" applyFill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3" fillId="35" borderId="32" xfId="2673" applyFont="1" applyFill="1" applyBorder="1" applyAlignment="1">
      <alignment vertical="center" wrapText="1"/>
    </xf>
    <xf numFmtId="0" fontId="133" fillId="43" borderId="32" xfId="2673" applyFont="1" applyFill="1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2" fontId="133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3" fillId="0" borderId="0" xfId="2675" applyFont="1" applyFill="1" applyBorder="1" applyAlignment="1">
      <alignment horizontal="center" vertical="center" wrapText="1"/>
    </xf>
    <xf numFmtId="1" fontId="133" fillId="0" borderId="50" xfId="2673" applyNumberFormat="1" applyFont="1" applyBorder="1" applyAlignment="1">
      <alignment vertical="center" wrapText="1"/>
    </xf>
    <xf numFmtId="0" fontId="169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2" fontId="169" fillId="0" borderId="0" xfId="2673" applyNumberFormat="1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70" fillId="0" borderId="0" xfId="2673" applyFont="1" applyAlignment="1">
      <alignment vertical="center" wrapText="1"/>
    </xf>
    <xf numFmtId="0" fontId="145" fillId="35" borderId="51" xfId="2673" applyFont="1" applyFill="1" applyBorder="1" applyAlignment="1">
      <alignment vertical="center" wrapText="1"/>
    </xf>
    <xf numFmtId="0" fontId="145" fillId="0" borderId="53" xfId="2673" applyFont="1" applyBorder="1" applyAlignment="1">
      <alignment horizontal="center" vertical="center" wrapText="1"/>
    </xf>
    <xf numFmtId="0" fontId="145" fillId="35" borderId="49" xfId="2673" applyFont="1" applyFill="1" applyBorder="1" applyAlignment="1">
      <alignment vertical="center" wrapText="1"/>
    </xf>
    <xf numFmtId="1" fontId="133" fillId="0" borderId="58" xfId="2673" applyNumberFormat="1" applyFont="1" applyBorder="1" applyAlignment="1">
      <alignment vertical="center" wrapText="1"/>
    </xf>
    <xf numFmtId="0" fontId="133" fillId="35" borderId="49" xfId="2673" applyFont="1" applyFill="1" applyBorder="1" applyAlignment="1">
      <alignment vertical="center" wrapText="1"/>
    </xf>
    <xf numFmtId="0" fontId="133" fillId="35" borderId="98" xfId="2673" applyFont="1" applyFill="1" applyBorder="1" applyAlignment="1">
      <alignment vertical="center" wrapText="1"/>
    </xf>
    <xf numFmtId="0" fontId="104" fillId="0" borderId="64" xfId="2673" applyFont="1" applyBorder="1" applyAlignment="1">
      <alignment horizontal="center" vertical="center" wrapText="1"/>
    </xf>
    <xf numFmtId="0" fontId="145" fillId="0" borderId="51" xfId="2673" applyFont="1" applyBorder="1" applyAlignment="1">
      <alignment vertical="center" wrapText="1"/>
    </xf>
    <xf numFmtId="0" fontId="145" fillId="0" borderId="49" xfId="2673" applyFont="1" applyBorder="1" applyAlignment="1">
      <alignment vertical="center" wrapText="1"/>
    </xf>
    <xf numFmtId="0" fontId="133" fillId="0" borderId="49" xfId="2673" applyFont="1" applyBorder="1" applyAlignment="1">
      <alignment vertical="center" wrapText="1"/>
    </xf>
    <xf numFmtId="0" fontId="133" fillId="0" borderId="98" xfId="2673" applyFont="1" applyBorder="1" applyAlignment="1">
      <alignment vertical="center" wrapText="1"/>
    </xf>
    <xf numFmtId="43" fontId="0" fillId="45" borderId="3" xfId="1026" applyFont="1" applyFill="1" applyBorder="1" applyProtection="1">
      <protection locked="0"/>
    </xf>
    <xf numFmtId="0" fontId="8" fillId="0" borderId="21" xfId="1614" applyFont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49" fontId="90" fillId="33" borderId="60" xfId="0" applyNumberFormat="1" applyFont="1" applyFill="1" applyBorder="1" applyAlignment="1">
      <alignment horizontal="left" vertical="center" wrapText="1"/>
    </xf>
    <xf numFmtId="49" fontId="90" fillId="33" borderId="61" xfId="0" applyNumberFormat="1" applyFont="1" applyFill="1" applyBorder="1" applyAlignment="1">
      <alignment horizontal="left" vertical="center"/>
    </xf>
    <xf numFmtId="164" fontId="151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5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0" fontId="114" fillId="33" borderId="0" xfId="0" applyFont="1" applyFill="1" applyAlignment="1">
      <alignment horizontal="left"/>
    </xf>
    <xf numFmtId="167" fontId="143" fillId="46" borderId="0" xfId="2672" applyNumberFormat="1" applyFont="1" applyFill="1" applyBorder="1" applyAlignment="1" applyProtection="1">
      <alignment horizontal="right" vertical="center"/>
    </xf>
    <xf numFmtId="0" fontId="173" fillId="0" borderId="69" xfId="1450" applyFont="1" applyBorder="1" applyAlignment="1">
      <alignment horizontal="center" vertical="center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118" fillId="0" borderId="99" xfId="1450" applyFont="1" applyBorder="1" applyAlignment="1">
      <alignment horizontal="center" vertical="center"/>
    </xf>
    <xf numFmtId="0" fontId="174" fillId="33" borderId="0" xfId="2678" applyFill="1"/>
    <xf numFmtId="0" fontId="42" fillId="0" borderId="21" xfId="1451" applyFont="1" applyFill="1" applyBorder="1" applyAlignment="1">
      <alignment horizontal="left" vertical="center" wrapText="1"/>
    </xf>
    <xf numFmtId="0" fontId="113" fillId="33" borderId="0" xfId="0" applyFont="1" applyFill="1" applyAlignment="1">
      <alignment vertical="center" wrapText="1"/>
    </xf>
    <xf numFmtId="0" fontId="113" fillId="33" borderId="37" xfId="0" applyFont="1" applyFill="1" applyBorder="1" applyAlignment="1">
      <alignment vertical="center" wrapText="1"/>
    </xf>
    <xf numFmtId="0" fontId="113" fillId="33" borderId="44" xfId="0" applyFont="1" applyFill="1" applyBorder="1" applyAlignment="1">
      <alignment vertical="center" wrapText="1"/>
    </xf>
    <xf numFmtId="0" fontId="113" fillId="33" borderId="45" xfId="0" applyFont="1" applyFill="1" applyBorder="1" applyAlignment="1">
      <alignment vertical="center" wrapText="1"/>
    </xf>
    <xf numFmtId="0" fontId="113" fillId="33" borderId="18" xfId="0" applyFont="1" applyFill="1" applyBorder="1" applyAlignment="1">
      <alignment vertical="center" wrapText="1"/>
    </xf>
    <xf numFmtId="0" fontId="113" fillId="33" borderId="43" xfId="0" applyFont="1" applyFill="1" applyBorder="1" applyAlignment="1">
      <alignment vertical="center" wrapText="1"/>
    </xf>
    <xf numFmtId="0" fontId="4" fillId="0" borderId="21" xfId="1652" applyFont="1" applyBorder="1" applyAlignment="1">
      <alignment horizontal="center" vertical="center"/>
    </xf>
    <xf numFmtId="0" fontId="41" fillId="0" borderId="21" xfId="1615" applyNumberFormat="1" applyFont="1" applyFill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8" fillId="0" borderId="21" xfId="1614" applyFont="1" applyFill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7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7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96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97" xfId="2673" applyBorder="1" applyAlignment="1">
      <alignment horizontal="center" vertical="center" wrapText="1"/>
    </xf>
    <xf numFmtId="9" fontId="169" fillId="0" borderId="0" xfId="2675" applyFont="1" applyFill="1" applyBorder="1" applyAlignment="1">
      <alignment horizontal="center" vertical="center" wrapText="1"/>
    </xf>
    <xf numFmtId="0" fontId="166" fillId="37" borderId="0" xfId="2673" applyFont="1" applyFill="1" applyAlignment="1">
      <alignment horizontal="left" vertical="center" wrapText="1"/>
    </xf>
    <xf numFmtId="165" fontId="145" fillId="35" borderId="7" xfId="2673" applyNumberFormat="1" applyFont="1" applyFill="1" applyBorder="1" applyAlignment="1">
      <alignment horizontal="center" vertical="center" wrapText="1"/>
    </xf>
    <xf numFmtId="0" fontId="145" fillId="35" borderId="58" xfId="2673" applyFont="1" applyFill="1" applyBorder="1" applyAlignment="1">
      <alignment horizontal="center" vertical="center" wrapText="1"/>
    </xf>
    <xf numFmtId="2" fontId="133" fillId="35" borderId="62" xfId="2673" applyNumberFormat="1" applyFont="1" applyFill="1" applyBorder="1" applyAlignment="1">
      <alignment horizontal="center" vertical="center" wrapText="1"/>
    </xf>
    <xf numFmtId="2" fontId="133" fillId="35" borderId="95" xfId="2673" applyNumberFormat="1" applyFont="1" applyFill="1" applyBorder="1" applyAlignment="1">
      <alignment horizontal="center" vertical="center" wrapText="1"/>
    </xf>
    <xf numFmtId="0" fontId="162" fillId="41" borderId="91" xfId="2673" applyFont="1" applyFill="1" applyBorder="1" applyAlignment="1">
      <alignment horizontal="center" vertical="center" wrapText="1"/>
    </xf>
    <xf numFmtId="0" fontId="162" fillId="41" borderId="92" xfId="2673" applyFont="1" applyFill="1" applyBorder="1" applyAlignment="1">
      <alignment horizontal="center" vertical="center" wrapText="1"/>
    </xf>
    <xf numFmtId="0" fontId="162" fillId="41" borderId="93" xfId="2673" applyFont="1" applyFill="1" applyBorder="1" applyAlignment="1">
      <alignment horizontal="center" vertical="center" wrapText="1"/>
    </xf>
    <xf numFmtId="0" fontId="133" fillId="35" borderId="7" xfId="2673" applyFont="1" applyFill="1" applyBorder="1" applyAlignment="1">
      <alignment horizontal="center" vertical="center" wrapText="1"/>
    </xf>
    <xf numFmtId="0" fontId="133" fillId="35" borderId="58" xfId="2673" applyFont="1" applyFill="1" applyBorder="1" applyAlignment="1">
      <alignment horizontal="center" vertical="center" wrapText="1"/>
    </xf>
    <xf numFmtId="1" fontId="145" fillId="35" borderId="7" xfId="2673" applyNumberFormat="1" applyFont="1" applyFill="1" applyBorder="1" applyAlignment="1">
      <alignment horizontal="center" vertical="center" wrapText="1"/>
    </xf>
    <xf numFmtId="1" fontId="145" fillId="35" borderId="58" xfId="2673" applyNumberFormat="1" applyFont="1" applyFill="1" applyBorder="1" applyAlignment="1">
      <alignment horizontal="center" vertical="center" wrapText="1"/>
    </xf>
    <xf numFmtId="165" fontId="145" fillId="0" borderId="53" xfId="2673" applyNumberFormat="1" applyFont="1" applyBorder="1" applyAlignment="1">
      <alignment horizontal="center" vertical="center" wrapText="1"/>
    </xf>
    <xf numFmtId="0" fontId="145" fillId="0" borderId="54" xfId="2673" applyFont="1" applyBorder="1" applyAlignment="1">
      <alignment horizontal="center" vertical="center" wrapText="1"/>
    </xf>
    <xf numFmtId="9" fontId="133" fillId="0" borderId="64" xfId="2675" applyFont="1" applyFill="1" applyBorder="1" applyAlignment="1">
      <alignment horizontal="center" vertical="center" wrapText="1"/>
    </xf>
    <xf numFmtId="9" fontId="133" fillId="0" borderId="65" xfId="2675" applyFont="1" applyFill="1" applyBorder="1" applyAlignment="1">
      <alignment horizontal="center" vertical="center" wrapText="1"/>
    </xf>
    <xf numFmtId="1" fontId="145" fillId="0" borderId="3" xfId="2673" applyNumberFormat="1" applyFont="1" applyBorder="1" applyAlignment="1">
      <alignment horizontal="center" vertical="center" wrapText="1"/>
    </xf>
    <xf numFmtId="1" fontId="145" fillId="0" borderId="39" xfId="2673" applyNumberFormat="1" applyFont="1" applyBorder="1" applyAlignment="1">
      <alignment horizontal="center" vertical="center" wrapText="1"/>
    </xf>
    <xf numFmtId="2" fontId="133" fillId="0" borderId="3" xfId="2673" applyNumberFormat="1" applyFont="1" applyBorder="1" applyAlignment="1">
      <alignment horizontal="center" vertical="center" wrapText="1"/>
    </xf>
    <xf numFmtId="2" fontId="133" fillId="0" borderId="39" xfId="2673" applyNumberFormat="1" applyFont="1" applyBorder="1" applyAlignment="1">
      <alignment horizontal="center" vertical="center" wrapText="1"/>
    </xf>
    <xf numFmtId="9" fontId="133" fillId="35" borderId="64" xfId="2675" applyFont="1" applyFill="1" applyBorder="1" applyAlignment="1">
      <alignment horizontal="center" vertical="center" wrapText="1"/>
    </xf>
    <xf numFmtId="9" fontId="133" fillId="35" borderId="65" xfId="2675" applyFont="1" applyFill="1" applyBorder="1" applyAlignment="1">
      <alignment horizontal="center" vertical="center" wrapText="1"/>
    </xf>
    <xf numFmtId="2" fontId="133" fillId="35" borderId="3" xfId="2673" applyNumberFormat="1" applyFont="1" applyFill="1" applyBorder="1" applyAlignment="1">
      <alignment horizontal="center" vertical="center" wrapText="1"/>
    </xf>
    <xf numFmtId="2" fontId="133" fillId="35" borderId="39" xfId="2673" applyNumberFormat="1" applyFont="1" applyFill="1" applyBorder="1" applyAlignment="1">
      <alignment horizontal="center" vertical="center" wrapText="1"/>
    </xf>
    <xf numFmtId="0" fontId="165" fillId="0" borderId="50" xfId="2673" applyFont="1" applyBorder="1" applyAlignment="1">
      <alignment horizontal="center" vertical="center" wrapText="1"/>
    </xf>
    <xf numFmtId="0" fontId="165" fillId="0" borderId="58" xfId="2673" applyFont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33" fillId="44" borderId="3" xfId="2673" applyNumberFormat="1" applyFont="1" applyFill="1" applyBorder="1" applyAlignment="1">
      <alignment horizontal="center" vertical="center" wrapText="1"/>
    </xf>
    <xf numFmtId="2" fontId="133" fillId="44" borderId="39" xfId="2673" applyNumberFormat="1" applyFont="1" applyFill="1" applyBorder="1" applyAlignment="1">
      <alignment horizontal="center" vertical="center" wrapText="1"/>
    </xf>
    <xf numFmtId="0" fontId="162" fillId="42" borderId="91" xfId="2673" applyFont="1" applyFill="1" applyBorder="1" applyAlignment="1">
      <alignment horizontal="center" vertical="center" wrapText="1"/>
    </xf>
    <xf numFmtId="0" fontId="162" fillId="42" borderId="92" xfId="2673" applyFont="1" applyFill="1" applyBorder="1" applyAlignment="1">
      <alignment horizontal="center" vertical="center" wrapText="1"/>
    </xf>
    <xf numFmtId="0" fontId="162" fillId="42" borderId="93" xfId="2673" applyFont="1" applyFill="1" applyBorder="1" applyAlignment="1">
      <alignment horizontal="center" vertical="center" wrapText="1"/>
    </xf>
    <xf numFmtId="165" fontId="145" fillId="43" borderId="7" xfId="2673" applyNumberFormat="1" applyFont="1" applyFill="1" applyBorder="1" applyAlignment="1">
      <alignment horizontal="center" vertical="center" wrapText="1"/>
    </xf>
    <xf numFmtId="0" fontId="145" fillId="43" borderId="58" xfId="2673" applyFont="1" applyFill="1" applyBorder="1" applyAlignment="1">
      <alignment horizontal="center" vertical="center" wrapText="1"/>
    </xf>
    <xf numFmtId="1" fontId="133" fillId="43" borderId="7" xfId="2673" applyNumberFormat="1" applyFont="1" applyFill="1" applyBorder="1" applyAlignment="1">
      <alignment horizontal="center" vertical="center" wrapText="1"/>
    </xf>
    <xf numFmtId="1" fontId="133" fillId="43" borderId="58" xfId="2673" applyNumberFormat="1" applyFont="1" applyFill="1" applyBorder="1" applyAlignment="1">
      <alignment horizontal="center" vertical="center" wrapText="1"/>
    </xf>
    <xf numFmtId="0" fontId="133" fillId="43" borderId="7" xfId="2673" applyFont="1" applyFill="1" applyBorder="1" applyAlignment="1">
      <alignment horizontal="center" vertical="center" wrapText="1"/>
    </xf>
    <xf numFmtId="0" fontId="133" fillId="43" borderId="58" xfId="2673" applyFont="1" applyFill="1" applyBorder="1" applyAlignment="1">
      <alignment horizontal="center" vertical="center" wrapText="1"/>
    </xf>
    <xf numFmtId="2" fontId="133" fillId="43" borderId="62" xfId="2673" applyNumberFormat="1" applyFont="1" applyFill="1" applyBorder="1" applyAlignment="1">
      <alignment horizontal="center" vertical="center" wrapText="1"/>
    </xf>
    <xf numFmtId="2" fontId="133" fillId="43" borderId="95" xfId="2673" applyNumberFormat="1" applyFont="1" applyFill="1" applyBorder="1" applyAlignment="1">
      <alignment horizontal="center" vertical="center" wrapText="1"/>
    </xf>
    <xf numFmtId="0" fontId="7" fillId="34" borderId="77" xfId="2670" applyFill="1" applyBorder="1" applyAlignment="1">
      <alignment horizontal="center" vertical="center"/>
    </xf>
    <xf numFmtId="0" fontId="137" fillId="0" borderId="7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52" fillId="30" borderId="3" xfId="1614" applyFont="1" applyFill="1" applyBorder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37" fontId="150" fillId="0" borderId="36" xfId="1614" applyNumberFormat="1" applyFont="1" applyBorder="1" applyAlignment="1">
      <alignment horizontal="center"/>
    </xf>
    <xf numFmtId="0" fontId="154" fillId="35" borderId="51" xfId="1614" applyFont="1" applyFill="1" applyBorder="1" applyAlignment="1">
      <alignment horizontal="center" vertical="center"/>
    </xf>
    <xf numFmtId="0" fontId="154" fillId="35" borderId="49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/>
    </xf>
    <xf numFmtId="0" fontId="154" fillId="35" borderId="21" xfId="1614" applyFont="1" applyFill="1" applyBorder="1" applyAlignment="1">
      <alignment horizontal="center" vertical="center"/>
    </xf>
    <xf numFmtId="0" fontId="154" fillId="35" borderId="33" xfId="1614" applyFont="1" applyFill="1" applyBorder="1" applyAlignment="1">
      <alignment horizontal="center" vertical="center"/>
    </xf>
    <xf numFmtId="0" fontId="154" fillId="35" borderId="53" xfId="1614" applyFont="1" applyFill="1" applyBorder="1" applyAlignment="1">
      <alignment horizontal="center" vertical="center"/>
    </xf>
    <xf numFmtId="0" fontId="154" fillId="35" borderId="3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 wrapText="1"/>
    </xf>
    <xf numFmtId="0" fontId="154" fillId="35" borderId="21" xfId="1614" applyFont="1" applyFill="1" applyBorder="1" applyAlignment="1">
      <alignment horizontal="center" vertical="center" wrapText="1"/>
    </xf>
    <xf numFmtId="0" fontId="154" fillId="35" borderId="33" xfId="1614" applyFont="1" applyFill="1" applyBorder="1" applyAlignment="1">
      <alignment horizontal="center" vertical="center" wrapText="1"/>
    </xf>
    <xf numFmtId="0" fontId="154" fillId="35" borderId="35" xfId="1652" applyFont="1" applyFill="1" applyBorder="1" applyAlignment="1">
      <alignment horizontal="center" vertical="center" wrapText="1"/>
    </xf>
    <xf numFmtId="0" fontId="154" fillId="35" borderId="33" xfId="1652" applyFont="1" applyFill="1" applyBorder="1" applyAlignment="1">
      <alignment horizontal="center" vertical="center" wrapText="1"/>
    </xf>
    <xf numFmtId="0" fontId="149" fillId="0" borderId="0" xfId="1644" applyFont="1" applyAlignment="1">
      <alignment horizontal="center" vertical="center"/>
    </xf>
    <xf numFmtId="37" fontId="156" fillId="0" borderId="19" xfId="1614" applyNumberFormat="1" applyFont="1" applyBorder="1" applyAlignment="1">
      <alignment horizontal="center"/>
    </xf>
    <xf numFmtId="43" fontId="152" fillId="0" borderId="0" xfId="1614" applyNumberFormat="1" applyFont="1" applyAlignment="1">
      <alignment horizontal="left" vertical="top" wrapText="1"/>
    </xf>
    <xf numFmtId="0" fontId="152" fillId="0" borderId="0" xfId="1614" applyFont="1" applyAlignment="1">
      <alignment horizontal="left" vertical="top" wrapText="1"/>
    </xf>
    <xf numFmtId="37" fontId="150" fillId="0" borderId="0" xfId="1614" applyNumberFormat="1" applyFont="1" applyAlignment="1">
      <alignment horizontal="center"/>
    </xf>
    <xf numFmtId="0" fontId="171" fillId="0" borderId="26" xfId="1614" applyFont="1" applyBorder="1" applyAlignment="1">
      <alignment horizontal="left" vertical="center" wrapText="1"/>
    </xf>
    <xf numFmtId="0" fontId="171" fillId="0" borderId="36" xfId="1614" applyFont="1" applyBorder="1" applyAlignment="1">
      <alignment horizontal="left" vertical="center" wrapText="1"/>
    </xf>
    <xf numFmtId="0" fontId="171" fillId="0" borderId="48" xfId="1614" applyFont="1" applyBorder="1" applyAlignment="1">
      <alignment horizontal="left" vertical="center" wrapText="1"/>
    </xf>
    <xf numFmtId="0" fontId="171" fillId="0" borderId="28" xfId="1614" applyFont="1" applyBorder="1" applyAlignment="1">
      <alignment horizontal="left" vertical="center" wrapText="1"/>
    </xf>
    <xf numFmtId="0" fontId="171" fillId="0" borderId="0" xfId="1614" applyFont="1" applyAlignment="1">
      <alignment horizontal="left" vertical="center" wrapText="1"/>
    </xf>
    <xf numFmtId="0" fontId="171" fillId="0" borderId="37" xfId="1614" applyFont="1" applyBorder="1" applyAlignment="1">
      <alignment horizontal="left" vertical="center" wrapText="1"/>
    </xf>
    <xf numFmtId="0" fontId="155" fillId="0" borderId="0" xfId="1652" applyFont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0" fontId="154" fillId="35" borderId="54" xfId="1614" applyFont="1" applyFill="1" applyBorder="1" applyAlignment="1">
      <alignment horizontal="center" vertical="center"/>
    </xf>
    <xf numFmtId="0" fontId="154" fillId="35" borderId="39" xfId="1614" applyFont="1" applyFill="1" applyBorder="1" applyAlignment="1">
      <alignment horizontal="center" vertic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206" fontId="118" fillId="0" borderId="73" xfId="1450" applyNumberFormat="1" applyFont="1" applyBorder="1" applyAlignment="1">
      <alignment horizontal="left" vertical="center"/>
    </xf>
    <xf numFmtId="206" fontId="173" fillId="0" borderId="74" xfId="1450" applyNumberFormat="1" applyFont="1" applyBorder="1" applyAlignment="1">
      <alignment horizontal="left" vertical="center"/>
    </xf>
    <xf numFmtId="49" fontId="131" fillId="33" borderId="59" xfId="0" applyNumberFormat="1" applyFont="1" applyFill="1" applyBorder="1" applyAlignment="1">
      <alignment horizontal="left" vertical="center"/>
    </xf>
    <xf numFmtId="49" fontId="131" fillId="33" borderId="40" xfId="0" applyNumberFormat="1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49" fontId="113" fillId="33" borderId="50" xfId="0" applyNumberFormat="1" applyFont="1" applyFill="1" applyBorder="1" applyAlignment="1">
      <alignment horizontal="center" vertical="center"/>
    </xf>
    <xf numFmtId="49" fontId="113" fillId="33" borderId="41" xfId="0" applyNumberFormat="1" applyFont="1" applyFill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79" xfId="0" applyFont="1" applyFill="1" applyBorder="1" applyAlignment="1">
      <alignment horizontal="left" vertical="center"/>
    </xf>
    <xf numFmtId="0" fontId="131" fillId="33" borderId="60" xfId="0" applyFont="1" applyFill="1" applyBorder="1" applyAlignment="1">
      <alignment horizontal="left" vertical="center"/>
    </xf>
    <xf numFmtId="0" fontId="131" fillId="33" borderId="61" xfId="0" applyFont="1" applyFill="1" applyBorder="1" applyAlignment="1">
      <alignment horizontal="left" vertical="center"/>
    </xf>
    <xf numFmtId="0" fontId="90" fillId="33" borderId="80" xfId="0" applyFont="1" applyFill="1" applyBorder="1" applyAlignment="1">
      <alignment horizontal="center" vertical="center"/>
    </xf>
    <xf numFmtId="0" fontId="90" fillId="33" borderId="81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center"/>
    </xf>
    <xf numFmtId="0" fontId="117" fillId="33" borderId="73" xfId="0" applyFont="1" applyFill="1" applyBorder="1" applyAlignment="1">
      <alignment horizontal="center" vertical="center"/>
    </xf>
    <xf numFmtId="0" fontId="117" fillId="33" borderId="74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90" fillId="33" borderId="61" xfId="0" applyFont="1" applyFill="1" applyBorder="1" applyAlignment="1">
      <alignment horizontal="left" vertical="center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15" fontId="113" fillId="33" borderId="3" xfId="0" applyNumberFormat="1" applyFont="1" applyFill="1" applyBorder="1" applyAlignment="1">
      <alignment horizontal="center"/>
    </xf>
    <xf numFmtId="0" fontId="90" fillId="33" borderId="59" xfId="0" applyFont="1" applyFill="1" applyBorder="1" applyAlignment="1">
      <alignment horizontal="center" vertical="center"/>
    </xf>
    <xf numFmtId="0" fontId="90" fillId="33" borderId="40" xfId="0" applyFont="1" applyFill="1" applyBorder="1" applyAlignment="1">
      <alignment horizontal="center" vertical="center"/>
    </xf>
    <xf numFmtId="0" fontId="118" fillId="33" borderId="75" xfId="0" applyFont="1" applyFill="1" applyBorder="1" applyAlignment="1">
      <alignment horizontal="center" vertical="center" wrapText="1"/>
    </xf>
    <xf numFmtId="0" fontId="118" fillId="33" borderId="76" xfId="0" applyFont="1" applyFill="1" applyBorder="1" applyAlignment="1">
      <alignment horizontal="center" vertical="center" wrapText="1"/>
    </xf>
    <xf numFmtId="0" fontId="114" fillId="33" borderId="18" xfId="0" applyFont="1" applyFill="1" applyBorder="1" applyAlignment="1">
      <alignment horizontal="left" vertical="top" wrapText="1"/>
    </xf>
    <xf numFmtId="0" fontId="114" fillId="33" borderId="0" xfId="0" applyFont="1" applyFill="1" applyAlignment="1">
      <alignment horizontal="left" vertical="top" wrapText="1"/>
    </xf>
    <xf numFmtId="0" fontId="113" fillId="33" borderId="64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5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3" fillId="33" borderId="18" xfId="0" applyFont="1" applyFill="1" applyBorder="1" applyAlignment="1">
      <alignment horizontal="center" vertical="center" wrapText="1"/>
    </xf>
    <xf numFmtId="0" fontId="113" fillId="33" borderId="0" xfId="0" applyFont="1" applyFill="1" applyBorder="1" applyAlignment="1">
      <alignment horizontal="center" vertical="center" wrapText="1"/>
    </xf>
    <xf numFmtId="0" fontId="113" fillId="33" borderId="37" xfId="0" applyFont="1" applyFill="1" applyBorder="1" applyAlignment="1">
      <alignment horizontal="center" vertical="center" wrapText="1"/>
    </xf>
    <xf numFmtId="0" fontId="121" fillId="35" borderId="26" xfId="1451" applyFont="1" applyFill="1" applyBorder="1" applyAlignment="1">
      <alignment horizontal="center" vertical="center"/>
    </xf>
    <xf numFmtId="0" fontId="121" fillId="35" borderId="36" xfId="1451" applyFont="1" applyFill="1" applyBorder="1" applyAlignment="1">
      <alignment horizontal="center" vertical="center"/>
    </xf>
    <xf numFmtId="0" fontId="121" fillId="35" borderId="48" xfId="1451" applyFont="1" applyFill="1" applyBorder="1" applyAlignment="1">
      <alignment horizontal="center" vertical="center"/>
    </xf>
    <xf numFmtId="0" fontId="121" fillId="35" borderId="28" xfId="1451" applyFont="1" applyFill="1" applyBorder="1" applyAlignment="1">
      <alignment horizontal="center" vertical="center"/>
    </xf>
    <xf numFmtId="0" fontId="121" fillId="35" borderId="0" xfId="1451" applyFont="1" applyFill="1" applyAlignment="1">
      <alignment horizontal="center" vertical="center"/>
    </xf>
    <xf numFmtId="0" fontId="121" fillId="35" borderId="37" xfId="1451" applyFont="1" applyFill="1" applyBorder="1" applyAlignment="1">
      <alignment horizontal="center" vertical="center"/>
    </xf>
    <xf numFmtId="0" fontId="121" fillId="35" borderId="34" xfId="1451" applyFont="1" applyFill="1" applyBorder="1" applyAlignment="1">
      <alignment horizontal="center" vertical="center"/>
    </xf>
    <xf numFmtId="0" fontId="121" fillId="35" borderId="19" xfId="1451" applyFont="1" applyFill="1" applyBorder="1" applyAlignment="1">
      <alignment horizontal="center" vertical="center"/>
    </xf>
    <xf numFmtId="0" fontId="121" fillId="35" borderId="31" xfId="1451" applyFont="1" applyFill="1" applyBorder="1" applyAlignment="1">
      <alignment horizontal="center" vertical="center"/>
    </xf>
    <xf numFmtId="0" fontId="159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</cellXfs>
  <cellStyles count="2679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" xfId="2678" builtinId="8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0.82272413359521657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0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0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134470</xdr:colOff>
      <xdr:row>32</xdr:row>
      <xdr:rowOff>78441</xdr:rowOff>
    </xdr:from>
    <xdr:to>
      <xdr:col>16</xdr:col>
      <xdr:colOff>313764</xdr:colOff>
      <xdr:row>32</xdr:row>
      <xdr:rowOff>78441</xdr:rowOff>
    </xdr:to>
    <xdr:cxnSp macro="">
      <xdr:nvCxnSpPr>
        <xdr:cNvPr id="137" name="Straight Connector 136"/>
        <xdr:cNvCxnSpPr/>
      </xdr:nvCxnSpPr>
      <xdr:spPr>
        <a:xfrm flipV="1">
          <a:off x="3496235" y="5087470"/>
          <a:ext cx="246529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337623</xdr:colOff>
      <xdr:row>29</xdr:row>
      <xdr:rowOff>7611</xdr:rowOff>
    </xdr:from>
    <xdr:to>
      <xdr:col>18</xdr:col>
      <xdr:colOff>169983</xdr:colOff>
      <xdr:row>29</xdr:row>
      <xdr:rowOff>7611</xdr:rowOff>
    </xdr:to>
    <xdr:sp macro="" textlink="">
      <xdr:nvSpPr>
        <xdr:cNvPr id="646" name="Freeform 645"/>
        <xdr:cNvSpPr/>
      </xdr:nvSpPr>
      <xdr:spPr>
        <a:xfrm>
          <a:off x="2556388" y="4557199"/>
          <a:ext cx="4023360" cy="0"/>
        </a:xfrm>
        <a:custGeom>
          <a:avLst/>
          <a:gdLst>
            <a:gd name="connsiteX0" fmla="*/ 3384176 w 3384176"/>
            <a:gd name="connsiteY0" fmla="*/ 0 h 11206"/>
            <a:gd name="connsiteX1" fmla="*/ 0 w 3384176"/>
            <a:gd name="connsiteY1" fmla="*/ 11206 h 112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384176" h="11206">
              <a:moveTo>
                <a:pt x="3384176" y="0"/>
              </a:moveTo>
              <a:lnTo>
                <a:pt x="0" y="11206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143119</xdr:colOff>
      <xdr:row>21</xdr:row>
      <xdr:rowOff>88117</xdr:rowOff>
    </xdr:from>
    <xdr:to>
      <xdr:col>16</xdr:col>
      <xdr:colOff>333122</xdr:colOff>
      <xdr:row>25</xdr:row>
      <xdr:rowOff>134470</xdr:rowOff>
    </xdr:to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5028884" y="3382646"/>
          <a:ext cx="952003" cy="67388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PUSKESMAS GABUS 1 23-33KVA</a:t>
          </a:r>
          <a:endParaRPr lang="en-US" sz="1100" b="0" i="0" u="none" strike="noStrik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900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373807</xdr:colOff>
      <xdr:row>5</xdr:row>
      <xdr:rowOff>44823</xdr:rowOff>
    </xdr:from>
    <xdr:to>
      <xdr:col>29</xdr:col>
      <xdr:colOff>302809</xdr:colOff>
      <xdr:row>19</xdr:row>
      <xdr:rowOff>61699</xdr:rowOff>
    </xdr:to>
    <xdr:grpSp>
      <xdr:nvGrpSpPr>
        <xdr:cNvPr id="562" name="Group 561">
          <a:extLst>
            <a:ext uri="{FF2B5EF4-FFF2-40B4-BE49-F238E27FC236}">
              <a16:creationId xmlns:a16="http://schemas.microsoft.com/office/drawing/2014/main" id="{3272FCED-27AC-4666-B493-368E935D7FE8}"/>
            </a:ext>
          </a:extLst>
        </xdr:cNvPr>
        <xdr:cNvGrpSpPr/>
      </xdr:nvGrpSpPr>
      <xdr:grpSpPr>
        <a:xfrm>
          <a:off x="9484189" y="829235"/>
          <a:ext cx="1509032" cy="2213229"/>
          <a:chOff x="9713886" y="808452"/>
          <a:chExt cx="1342558" cy="1766630"/>
        </a:xfrm>
      </xdr:grpSpPr>
      <xdr:grpSp>
        <xdr:nvGrpSpPr>
          <xdr:cNvPr id="563" name="Group 13">
            <a:extLst>
              <a:ext uri="{FF2B5EF4-FFF2-40B4-BE49-F238E27FC236}">
                <a16:creationId xmlns:a16="http://schemas.microsoft.com/office/drawing/2014/main" id="{A0059BBC-E168-4487-ABCB-F2C36979501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22" name="Oval 1">
              <a:extLst>
                <a:ext uri="{FF2B5EF4-FFF2-40B4-BE49-F238E27FC236}">
                  <a16:creationId xmlns:a16="http://schemas.microsoft.com/office/drawing/2014/main" id="{EE2C7EA2-736A-4B0C-8CE9-D78B960BEE9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23" name="Straight Connector 3">
              <a:extLst>
                <a:ext uri="{FF2B5EF4-FFF2-40B4-BE49-F238E27FC236}">
                  <a16:creationId xmlns:a16="http://schemas.microsoft.com/office/drawing/2014/main" id="{F9DD5BB1-B664-43CD-A2DF-F9AC8EA3B169}"/>
                </a:ext>
              </a:extLst>
            </xdr:cNvPr>
            <xdr:cNvCxnSpPr>
              <a:stCxn id="579" idx="1"/>
              <a:endCxn id="57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4" name="Straight Connector 7">
              <a:extLst>
                <a:ext uri="{FF2B5EF4-FFF2-40B4-BE49-F238E27FC236}">
                  <a16:creationId xmlns:a16="http://schemas.microsoft.com/office/drawing/2014/main" id="{310D98A3-A077-48BD-9D71-F32C25DA0881}"/>
                </a:ext>
              </a:extLst>
            </xdr:cNvPr>
            <xdr:cNvCxnSpPr>
              <a:stCxn id="579" idx="3"/>
              <a:endCxn id="57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64" name="Oval 563">
            <a:extLst>
              <a:ext uri="{FF2B5EF4-FFF2-40B4-BE49-F238E27FC236}">
                <a16:creationId xmlns:a16="http://schemas.microsoft.com/office/drawing/2014/main" id="{B0631DF8-7DDC-40E5-93B3-C7A05F661C1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65" name="Group 564">
            <a:extLst>
              <a:ext uri="{FF2B5EF4-FFF2-40B4-BE49-F238E27FC236}">
                <a16:creationId xmlns:a16="http://schemas.microsoft.com/office/drawing/2014/main" id="{F221FAA8-24B8-49F6-8073-8C14EDBFBA9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19" name="Oval 618">
              <a:extLst>
                <a:ext uri="{FF2B5EF4-FFF2-40B4-BE49-F238E27FC236}">
                  <a16:creationId xmlns:a16="http://schemas.microsoft.com/office/drawing/2014/main" id="{008C3D79-3222-4BCC-A712-84D331EDD1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20" name="Straight Connector 619">
              <a:extLst>
                <a:ext uri="{FF2B5EF4-FFF2-40B4-BE49-F238E27FC236}">
                  <a16:creationId xmlns:a16="http://schemas.microsoft.com/office/drawing/2014/main" id="{4F57EC5B-A8B2-4683-8087-938FA0247EA4}"/>
                </a:ext>
              </a:extLst>
            </xdr:cNvPr>
            <xdr:cNvCxnSpPr>
              <a:stCxn id="619" idx="1"/>
              <a:endCxn id="61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1" name="Straight Connector 620">
              <a:extLst>
                <a:ext uri="{FF2B5EF4-FFF2-40B4-BE49-F238E27FC236}">
                  <a16:creationId xmlns:a16="http://schemas.microsoft.com/office/drawing/2014/main" id="{D6651655-D6B1-49C9-8CC1-8942D2467267}"/>
                </a:ext>
              </a:extLst>
            </xdr:cNvPr>
            <xdr:cNvCxnSpPr>
              <a:stCxn id="619" idx="3"/>
              <a:endCxn id="61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66" name="Oval 565">
            <a:extLst>
              <a:ext uri="{FF2B5EF4-FFF2-40B4-BE49-F238E27FC236}">
                <a16:creationId xmlns:a16="http://schemas.microsoft.com/office/drawing/2014/main" id="{E18DEDF3-0006-4F74-9AFC-B7EA8937096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67" name="Straight Connector 566">
            <a:extLst>
              <a:ext uri="{FF2B5EF4-FFF2-40B4-BE49-F238E27FC236}">
                <a16:creationId xmlns:a16="http://schemas.microsoft.com/office/drawing/2014/main" id="{2C2C62A0-A880-48E4-B25A-447657578BD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8" name="Straight Connector 567">
            <a:extLst>
              <a:ext uri="{FF2B5EF4-FFF2-40B4-BE49-F238E27FC236}">
                <a16:creationId xmlns:a16="http://schemas.microsoft.com/office/drawing/2014/main" id="{EBD1BF7F-1418-43C3-9EFF-89A9A7204DF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9" name="Straight Connector 568">
            <a:extLst>
              <a:ext uri="{FF2B5EF4-FFF2-40B4-BE49-F238E27FC236}">
                <a16:creationId xmlns:a16="http://schemas.microsoft.com/office/drawing/2014/main" id="{4E2637C5-E075-4737-B973-F39E412BB72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0" name="Straight Connector 569">
            <a:extLst>
              <a:ext uri="{FF2B5EF4-FFF2-40B4-BE49-F238E27FC236}">
                <a16:creationId xmlns:a16="http://schemas.microsoft.com/office/drawing/2014/main" id="{0076E6E7-E71B-419E-A93A-DD139456B10A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1" name="Straight Connector 570">
            <a:extLst>
              <a:ext uri="{FF2B5EF4-FFF2-40B4-BE49-F238E27FC236}">
                <a16:creationId xmlns:a16="http://schemas.microsoft.com/office/drawing/2014/main" id="{E1BF1193-D79A-45D6-9074-FA1C5CC3FFC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2" name="Straight Connector 571">
            <a:extLst>
              <a:ext uri="{FF2B5EF4-FFF2-40B4-BE49-F238E27FC236}">
                <a16:creationId xmlns:a16="http://schemas.microsoft.com/office/drawing/2014/main" id="{4BB021E1-8B0D-4D8B-B2A7-9C2CD3625A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3" name="Straight Connector 572">
            <a:extLst>
              <a:ext uri="{FF2B5EF4-FFF2-40B4-BE49-F238E27FC236}">
                <a16:creationId xmlns:a16="http://schemas.microsoft.com/office/drawing/2014/main" id="{7D9E4838-0E93-44B5-ACA8-DECA4250143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4" name="Straight Connector 573">
            <a:extLst>
              <a:ext uri="{FF2B5EF4-FFF2-40B4-BE49-F238E27FC236}">
                <a16:creationId xmlns:a16="http://schemas.microsoft.com/office/drawing/2014/main" id="{F96A8F58-456E-4AA5-86BF-3D1EF065A123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5" name="Straight Connector 574">
            <a:extLst>
              <a:ext uri="{FF2B5EF4-FFF2-40B4-BE49-F238E27FC236}">
                <a16:creationId xmlns:a16="http://schemas.microsoft.com/office/drawing/2014/main" id="{87279DA1-A869-45D3-A7E1-885675B40EA8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6" name="Straight Connector 575">
            <a:extLst>
              <a:ext uri="{FF2B5EF4-FFF2-40B4-BE49-F238E27FC236}">
                <a16:creationId xmlns:a16="http://schemas.microsoft.com/office/drawing/2014/main" id="{B35D657E-AC79-4E25-93B0-EDFF48F54BD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7" name="Straight Connector 576">
            <a:extLst>
              <a:ext uri="{FF2B5EF4-FFF2-40B4-BE49-F238E27FC236}">
                <a16:creationId xmlns:a16="http://schemas.microsoft.com/office/drawing/2014/main" id="{FC2CF546-D08D-45EF-98B9-F5D1660E4A1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8" name="Straight Connector 577">
            <a:extLst>
              <a:ext uri="{FF2B5EF4-FFF2-40B4-BE49-F238E27FC236}">
                <a16:creationId xmlns:a16="http://schemas.microsoft.com/office/drawing/2014/main" id="{D623DA68-6CAB-43D3-A8A4-CE459A04AD9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9" name="Straight Connector 50">
            <a:extLst>
              <a:ext uri="{FF2B5EF4-FFF2-40B4-BE49-F238E27FC236}">
                <a16:creationId xmlns:a16="http://schemas.microsoft.com/office/drawing/2014/main" id="{A37D3E54-E71C-4AE2-B09B-9E1B0F118C8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0" name="Straight Connector 579">
            <a:extLst>
              <a:ext uri="{FF2B5EF4-FFF2-40B4-BE49-F238E27FC236}">
                <a16:creationId xmlns:a16="http://schemas.microsoft.com/office/drawing/2014/main" id="{D9124D4C-9445-47C6-8B83-EA6960C6C8A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1" name="Straight Connector 52">
            <a:extLst>
              <a:ext uri="{FF2B5EF4-FFF2-40B4-BE49-F238E27FC236}">
                <a16:creationId xmlns:a16="http://schemas.microsoft.com/office/drawing/2014/main" id="{5F4CF603-728D-489A-8737-2D61FBDC67E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2" name="Straight Connector 581">
            <a:extLst>
              <a:ext uri="{FF2B5EF4-FFF2-40B4-BE49-F238E27FC236}">
                <a16:creationId xmlns:a16="http://schemas.microsoft.com/office/drawing/2014/main" id="{F9D4E4D7-D856-469D-8E67-6B6BD60CAE0D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3" name="Straight Connector 582">
            <a:extLst>
              <a:ext uri="{FF2B5EF4-FFF2-40B4-BE49-F238E27FC236}">
                <a16:creationId xmlns:a16="http://schemas.microsoft.com/office/drawing/2014/main" id="{E8D5E050-6E4E-41D9-9ADA-1995EE864A2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4" name="Straight Connector 583">
            <a:extLst>
              <a:ext uri="{FF2B5EF4-FFF2-40B4-BE49-F238E27FC236}">
                <a16:creationId xmlns:a16="http://schemas.microsoft.com/office/drawing/2014/main" id="{C634EF6E-3FD6-4142-B474-9E9047757181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5" name="Straight Connector 584">
            <a:extLst>
              <a:ext uri="{FF2B5EF4-FFF2-40B4-BE49-F238E27FC236}">
                <a16:creationId xmlns:a16="http://schemas.microsoft.com/office/drawing/2014/main" id="{ECD67FCE-9647-411D-858A-46847461325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6" name="Straight Connector 585">
            <a:extLst>
              <a:ext uri="{FF2B5EF4-FFF2-40B4-BE49-F238E27FC236}">
                <a16:creationId xmlns:a16="http://schemas.microsoft.com/office/drawing/2014/main" id="{3EF1BFD8-8D77-4962-B838-FDC261702834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7" name="Straight Connector 586">
            <a:extLst>
              <a:ext uri="{FF2B5EF4-FFF2-40B4-BE49-F238E27FC236}">
                <a16:creationId xmlns:a16="http://schemas.microsoft.com/office/drawing/2014/main" id="{F07231D3-3E45-42E6-8632-401AAC684461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8" name="Straight Connector 587">
            <a:extLst>
              <a:ext uri="{FF2B5EF4-FFF2-40B4-BE49-F238E27FC236}">
                <a16:creationId xmlns:a16="http://schemas.microsoft.com/office/drawing/2014/main" id="{91C81B03-E8BA-4603-89F7-79A616328C7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9" name="Isosceles Triangle 588">
            <a:extLst>
              <a:ext uri="{FF2B5EF4-FFF2-40B4-BE49-F238E27FC236}">
                <a16:creationId xmlns:a16="http://schemas.microsoft.com/office/drawing/2014/main" id="{9FF02A70-B079-4396-A685-0C5272356EE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90" name="Isosceles Triangle 589">
            <a:extLst>
              <a:ext uri="{FF2B5EF4-FFF2-40B4-BE49-F238E27FC236}">
                <a16:creationId xmlns:a16="http://schemas.microsoft.com/office/drawing/2014/main" id="{C31B0938-312E-4AC4-8FBD-581B448C8B08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91" name="Group 73">
            <a:extLst>
              <a:ext uri="{FF2B5EF4-FFF2-40B4-BE49-F238E27FC236}">
                <a16:creationId xmlns:a16="http://schemas.microsoft.com/office/drawing/2014/main" id="{6D3A4BE7-280D-4003-887E-980F1807F4BD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617" name="TextBox 616">
              <a:extLst>
                <a:ext uri="{FF2B5EF4-FFF2-40B4-BE49-F238E27FC236}">
                  <a16:creationId xmlns:a16="http://schemas.microsoft.com/office/drawing/2014/main" id="{AC08712B-8469-4FC0-9403-6F89E2DA0AA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618" name="Straight Connector 617">
              <a:extLst>
                <a:ext uri="{FF2B5EF4-FFF2-40B4-BE49-F238E27FC236}">
                  <a16:creationId xmlns:a16="http://schemas.microsoft.com/office/drawing/2014/main" id="{CF8F09C6-4AE6-4AD9-80BC-6C1F1A3E7FA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92" name="Group 74">
            <a:extLst>
              <a:ext uri="{FF2B5EF4-FFF2-40B4-BE49-F238E27FC236}">
                <a16:creationId xmlns:a16="http://schemas.microsoft.com/office/drawing/2014/main" id="{E1B3F5F2-C8A4-46D8-B223-210302816F9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615" name="TextBox 614">
              <a:extLst>
                <a:ext uri="{FF2B5EF4-FFF2-40B4-BE49-F238E27FC236}">
                  <a16:creationId xmlns:a16="http://schemas.microsoft.com/office/drawing/2014/main" id="{98608E58-5F68-4842-948A-BB4B2B175C4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616" name="Straight Connector 615">
              <a:extLst>
                <a:ext uri="{FF2B5EF4-FFF2-40B4-BE49-F238E27FC236}">
                  <a16:creationId xmlns:a16="http://schemas.microsoft.com/office/drawing/2014/main" id="{24CB6642-F85E-453E-94B6-0F23B4CA4E42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93" name="Group 89">
            <a:extLst>
              <a:ext uri="{FF2B5EF4-FFF2-40B4-BE49-F238E27FC236}">
                <a16:creationId xmlns:a16="http://schemas.microsoft.com/office/drawing/2014/main" id="{49D9216F-9CFD-4216-9200-5B00D24E26A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611" name="Straight Connector 610">
              <a:extLst>
                <a:ext uri="{FF2B5EF4-FFF2-40B4-BE49-F238E27FC236}">
                  <a16:creationId xmlns:a16="http://schemas.microsoft.com/office/drawing/2014/main" id="{65D87665-C2CB-4A4A-BF62-B6E55DEC736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2" name="Straight Connector 79">
              <a:extLst>
                <a:ext uri="{FF2B5EF4-FFF2-40B4-BE49-F238E27FC236}">
                  <a16:creationId xmlns:a16="http://schemas.microsoft.com/office/drawing/2014/main" id="{3078B31A-D4B2-44B4-9865-FA74DB010D2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3" name="Straight Connector 80">
              <a:extLst>
                <a:ext uri="{FF2B5EF4-FFF2-40B4-BE49-F238E27FC236}">
                  <a16:creationId xmlns:a16="http://schemas.microsoft.com/office/drawing/2014/main" id="{0E80E68C-144D-4936-B91B-4EB1EC2BE64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4" name="Straight Connector 88">
              <a:extLst>
                <a:ext uri="{FF2B5EF4-FFF2-40B4-BE49-F238E27FC236}">
                  <a16:creationId xmlns:a16="http://schemas.microsoft.com/office/drawing/2014/main" id="{52AAB6B2-674B-4C85-843D-AD2AE1F80CD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94" name="Group 90">
            <a:extLst>
              <a:ext uri="{FF2B5EF4-FFF2-40B4-BE49-F238E27FC236}">
                <a16:creationId xmlns:a16="http://schemas.microsoft.com/office/drawing/2014/main" id="{28C5169D-ED59-4EAF-9312-EF41B72AF23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607" name="Straight Connector 606">
              <a:extLst>
                <a:ext uri="{FF2B5EF4-FFF2-40B4-BE49-F238E27FC236}">
                  <a16:creationId xmlns:a16="http://schemas.microsoft.com/office/drawing/2014/main" id="{5B5D57D4-E5C1-4B5A-A69A-462BFF6772B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8" name="Straight Connector 607">
              <a:extLst>
                <a:ext uri="{FF2B5EF4-FFF2-40B4-BE49-F238E27FC236}">
                  <a16:creationId xmlns:a16="http://schemas.microsoft.com/office/drawing/2014/main" id="{A6A01F44-C661-4A6D-9B2A-30D5A35E07E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9" name="Straight Connector 608">
              <a:extLst>
                <a:ext uri="{FF2B5EF4-FFF2-40B4-BE49-F238E27FC236}">
                  <a16:creationId xmlns:a16="http://schemas.microsoft.com/office/drawing/2014/main" id="{ECD6A8F1-D405-4776-AFAF-09BE0BA3AA9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0" name="Straight Connector 609">
              <a:extLst>
                <a:ext uri="{FF2B5EF4-FFF2-40B4-BE49-F238E27FC236}">
                  <a16:creationId xmlns:a16="http://schemas.microsoft.com/office/drawing/2014/main" id="{1CC380E4-E8E2-4AFA-9C75-421DAF64CB2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95" name="Straight Connector 594">
            <a:extLst>
              <a:ext uri="{FF2B5EF4-FFF2-40B4-BE49-F238E27FC236}">
                <a16:creationId xmlns:a16="http://schemas.microsoft.com/office/drawing/2014/main" id="{34BD92AF-799D-4B62-B4CF-0F866B1989D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6" name="Straight Connector 595">
            <a:extLst>
              <a:ext uri="{FF2B5EF4-FFF2-40B4-BE49-F238E27FC236}">
                <a16:creationId xmlns:a16="http://schemas.microsoft.com/office/drawing/2014/main" id="{E7FE6E38-2112-4FFE-9CE5-D7A923CD472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7" name="Straight Arrow Connector 596">
            <a:extLst>
              <a:ext uri="{FF2B5EF4-FFF2-40B4-BE49-F238E27FC236}">
                <a16:creationId xmlns:a16="http://schemas.microsoft.com/office/drawing/2014/main" id="{7C1CBD05-F5A5-453F-8720-D422730BD46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8" name="Straight Arrow Connector 597">
            <a:extLst>
              <a:ext uri="{FF2B5EF4-FFF2-40B4-BE49-F238E27FC236}">
                <a16:creationId xmlns:a16="http://schemas.microsoft.com/office/drawing/2014/main" id="{29B95EA8-4C80-4365-81F2-A45DD0C8019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99" name="Group 155">
            <a:extLst>
              <a:ext uri="{FF2B5EF4-FFF2-40B4-BE49-F238E27FC236}">
                <a16:creationId xmlns:a16="http://schemas.microsoft.com/office/drawing/2014/main" id="{6A83EADA-EDC3-4872-86B2-539ACFB54D13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604" name="Isosceles Triangle 603">
              <a:extLst>
                <a:ext uri="{FF2B5EF4-FFF2-40B4-BE49-F238E27FC236}">
                  <a16:creationId xmlns:a16="http://schemas.microsoft.com/office/drawing/2014/main" id="{528817BD-B203-453A-B7B9-562EE88671B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5" name="Isosceles Triangle 604">
              <a:extLst>
                <a:ext uri="{FF2B5EF4-FFF2-40B4-BE49-F238E27FC236}">
                  <a16:creationId xmlns:a16="http://schemas.microsoft.com/office/drawing/2014/main" id="{92184D22-5DB8-41B4-A0F8-26D741AB8135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6" name="Isosceles Triangle 605">
              <a:extLst>
                <a:ext uri="{FF2B5EF4-FFF2-40B4-BE49-F238E27FC236}">
                  <a16:creationId xmlns:a16="http://schemas.microsoft.com/office/drawing/2014/main" id="{F2A6AE2C-2F5B-4CA1-9FBE-764261485F79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600" name="Group 134">
            <a:extLst>
              <a:ext uri="{FF2B5EF4-FFF2-40B4-BE49-F238E27FC236}">
                <a16:creationId xmlns:a16="http://schemas.microsoft.com/office/drawing/2014/main" id="{A868FBC8-B2A3-488E-AF24-23545CA3CA5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601" name="Isosceles Triangle 600">
              <a:extLst>
                <a:ext uri="{FF2B5EF4-FFF2-40B4-BE49-F238E27FC236}">
                  <a16:creationId xmlns:a16="http://schemas.microsoft.com/office/drawing/2014/main" id="{46F851E5-AE7D-422A-BD62-FE47FEFA5BE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2" name="Isosceles Triangle 601">
              <a:extLst>
                <a:ext uri="{FF2B5EF4-FFF2-40B4-BE49-F238E27FC236}">
                  <a16:creationId xmlns:a16="http://schemas.microsoft.com/office/drawing/2014/main" id="{59ECA33C-C0C7-4289-8D28-BD84BC15E278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603" name="Isosceles Triangle 602">
              <a:extLst>
                <a:ext uri="{FF2B5EF4-FFF2-40B4-BE49-F238E27FC236}">
                  <a16:creationId xmlns:a16="http://schemas.microsoft.com/office/drawing/2014/main" id="{2DA64D0B-E1DC-47CF-8B04-340B63D6796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214443</xdr:colOff>
      <xdr:row>18</xdr:row>
      <xdr:rowOff>46897</xdr:rowOff>
    </xdr:from>
    <xdr:to>
      <xdr:col>27</xdr:col>
      <xdr:colOff>30869</xdr:colOff>
      <xdr:row>19</xdr:row>
      <xdr:rowOff>123851</xdr:rowOff>
    </xdr:to>
    <xdr:grpSp>
      <xdr:nvGrpSpPr>
        <xdr:cNvPr id="625" name="Group 624">
          <a:extLst>
            <a:ext uri="{FF2B5EF4-FFF2-40B4-BE49-F238E27FC236}">
              <a16:creationId xmlns:a16="http://schemas.microsoft.com/office/drawing/2014/main" id="{6A9C061F-BAF8-40E3-A7B7-F32944E96D9A}"/>
            </a:ext>
          </a:extLst>
        </xdr:cNvPr>
        <xdr:cNvGrpSpPr/>
      </xdr:nvGrpSpPr>
      <xdr:grpSpPr>
        <a:xfrm>
          <a:off x="9705825" y="2870779"/>
          <a:ext cx="253456" cy="233837"/>
          <a:chOff x="11040342" y="3026321"/>
          <a:chExt cx="251113" cy="183360"/>
        </a:xfrm>
      </xdr:grpSpPr>
      <xdr:sp macro="" textlink="">
        <xdr:nvSpPr>
          <xdr:cNvPr id="626" name="Freeform 198">
            <a:extLst>
              <a:ext uri="{FF2B5EF4-FFF2-40B4-BE49-F238E27FC236}">
                <a16:creationId xmlns:a16="http://schemas.microsoft.com/office/drawing/2014/main" id="{76DA0981-41FC-41A2-9C3A-814043EFC686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27" name="Straight Connector 88">
            <a:extLst>
              <a:ext uri="{FF2B5EF4-FFF2-40B4-BE49-F238E27FC236}">
                <a16:creationId xmlns:a16="http://schemas.microsoft.com/office/drawing/2014/main" id="{5C49DBAA-0FCA-4992-976B-3A1C2BD352BC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182505</xdr:colOff>
      <xdr:row>18</xdr:row>
      <xdr:rowOff>52093</xdr:rowOff>
    </xdr:from>
    <xdr:to>
      <xdr:col>29</xdr:col>
      <xdr:colOff>52618</xdr:colOff>
      <xdr:row>19</xdr:row>
      <xdr:rowOff>128029</xdr:rowOff>
    </xdr:to>
    <xdr:grpSp>
      <xdr:nvGrpSpPr>
        <xdr:cNvPr id="628" name="Group 627">
          <a:extLst>
            <a:ext uri="{FF2B5EF4-FFF2-40B4-BE49-F238E27FC236}">
              <a16:creationId xmlns:a16="http://schemas.microsoft.com/office/drawing/2014/main" id="{AAEA0AA3-C350-4668-9361-594DF9C5A7FA}"/>
            </a:ext>
          </a:extLst>
        </xdr:cNvPr>
        <xdr:cNvGrpSpPr/>
      </xdr:nvGrpSpPr>
      <xdr:grpSpPr>
        <a:xfrm>
          <a:off x="10491917" y="2875975"/>
          <a:ext cx="251113" cy="232819"/>
          <a:chOff x="11040342" y="3026321"/>
          <a:chExt cx="251113" cy="183360"/>
        </a:xfrm>
      </xdr:grpSpPr>
      <xdr:sp macro="" textlink="">
        <xdr:nvSpPr>
          <xdr:cNvPr id="629" name="Freeform 201">
            <a:extLst>
              <a:ext uri="{FF2B5EF4-FFF2-40B4-BE49-F238E27FC236}">
                <a16:creationId xmlns:a16="http://schemas.microsoft.com/office/drawing/2014/main" id="{40355B87-24C1-41B0-BD2C-8D1B577CDBEC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30" name="Straight Connector 88">
            <a:extLst>
              <a:ext uri="{FF2B5EF4-FFF2-40B4-BE49-F238E27FC236}">
                <a16:creationId xmlns:a16="http://schemas.microsoft.com/office/drawing/2014/main" id="{60303581-CE23-44FB-8B70-C2CEBD5F138D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6777</xdr:colOff>
      <xdr:row>31</xdr:row>
      <xdr:rowOff>8676</xdr:rowOff>
    </xdr:from>
    <xdr:to>
      <xdr:col>11</xdr:col>
      <xdr:colOff>138759</xdr:colOff>
      <xdr:row>31</xdr:row>
      <xdr:rowOff>152255</xdr:rowOff>
    </xdr:to>
    <xdr:sp macro="" textlink="">
      <xdr:nvSpPr>
        <xdr:cNvPr id="631" name="Isosceles Triangle 630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3749542" y="4860823"/>
          <a:ext cx="131982" cy="143579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329214</xdr:colOff>
      <xdr:row>30</xdr:row>
      <xdr:rowOff>151821</xdr:rowOff>
    </xdr:from>
    <xdr:to>
      <xdr:col>11</xdr:col>
      <xdr:colOff>80196</xdr:colOff>
      <xdr:row>31</xdr:row>
      <xdr:rowOff>138518</xdr:rowOff>
    </xdr:to>
    <xdr:sp macro="" textlink="">
      <xdr:nvSpPr>
        <xdr:cNvPr id="644" name="Isosceles Triangle 643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3690979" y="4847086"/>
          <a:ext cx="131982" cy="143579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62511</xdr:colOff>
      <xdr:row>30</xdr:row>
      <xdr:rowOff>142858</xdr:rowOff>
    </xdr:from>
    <xdr:to>
      <xdr:col>11</xdr:col>
      <xdr:colOff>194493</xdr:colOff>
      <xdr:row>31</xdr:row>
      <xdr:rowOff>129555</xdr:rowOff>
    </xdr:to>
    <xdr:sp macro="" textlink="">
      <xdr:nvSpPr>
        <xdr:cNvPr id="645" name="Isosceles Triangle 644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3805276" y="4838123"/>
          <a:ext cx="131982" cy="143579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301743</xdr:colOff>
      <xdr:row>31</xdr:row>
      <xdr:rowOff>76912</xdr:rowOff>
    </xdr:from>
    <xdr:to>
      <xdr:col>15</xdr:col>
      <xdr:colOff>71830</xdr:colOff>
      <xdr:row>32</xdr:row>
      <xdr:rowOff>60704</xdr:rowOff>
    </xdr:to>
    <xdr:grpSp>
      <xdr:nvGrpSpPr>
        <xdr:cNvPr id="647" name="Group 2">
          <a:extLst>
            <a:ext uri="{FF2B5EF4-FFF2-40B4-BE49-F238E27FC236}">
              <a16:creationId xmlns:a16="http://schemas.microsoft.com/office/drawing/2014/main" id="{1B5B4559-D5F0-4C38-99B5-94D33896A45D}"/>
            </a:ext>
          </a:extLst>
        </xdr:cNvPr>
        <xdr:cNvGrpSpPr>
          <a:grpSpLocks/>
        </xdr:cNvGrpSpPr>
      </xdr:nvGrpSpPr>
      <xdr:grpSpPr bwMode="auto">
        <a:xfrm>
          <a:off x="5187508" y="4929059"/>
          <a:ext cx="151087" cy="1406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48" name="Oval 647">
            <a:extLst>
              <a:ext uri="{FF2B5EF4-FFF2-40B4-BE49-F238E27FC236}">
                <a16:creationId xmlns:a16="http://schemas.microsoft.com/office/drawing/2014/main" id="{D830DDC7-1E98-4F2C-A37D-AF832A8308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649" name="Straight Connector 648">
            <a:extLst>
              <a:ext uri="{FF2B5EF4-FFF2-40B4-BE49-F238E27FC236}">
                <a16:creationId xmlns:a16="http://schemas.microsoft.com/office/drawing/2014/main" id="{B2051586-B03A-41D8-9556-898A30856C1D}"/>
              </a:ext>
            </a:extLst>
          </xdr:cNvPr>
          <xdr:cNvCxnSpPr>
            <a:stCxn id="648" idx="1"/>
            <a:endCxn id="64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0" name="Straight Connector 649">
            <a:extLst>
              <a:ext uri="{FF2B5EF4-FFF2-40B4-BE49-F238E27FC236}">
                <a16:creationId xmlns:a16="http://schemas.microsoft.com/office/drawing/2014/main" id="{37450A11-5671-43BD-A8A4-540D1940E7F7}"/>
              </a:ext>
            </a:extLst>
          </xdr:cNvPr>
          <xdr:cNvCxnSpPr>
            <a:stCxn id="648" idx="3"/>
            <a:endCxn id="64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172172</xdr:colOff>
      <xdr:row>31</xdr:row>
      <xdr:rowOff>125299</xdr:rowOff>
    </xdr:from>
    <xdr:to>
      <xdr:col>11</xdr:col>
      <xdr:colOff>323259</xdr:colOff>
      <xdr:row>32</xdr:row>
      <xdr:rowOff>110109</xdr:rowOff>
    </xdr:to>
    <xdr:grpSp>
      <xdr:nvGrpSpPr>
        <xdr:cNvPr id="663" name="Group 2">
          <a:extLst>
            <a:ext uri="{FF2B5EF4-FFF2-40B4-BE49-F238E27FC236}">
              <a16:creationId xmlns:a16="http://schemas.microsoft.com/office/drawing/2014/main" id="{1B5B4559-D5F0-4C38-99B5-94D33896A45D}"/>
            </a:ext>
          </a:extLst>
        </xdr:cNvPr>
        <xdr:cNvGrpSpPr>
          <a:grpSpLocks/>
        </xdr:cNvGrpSpPr>
      </xdr:nvGrpSpPr>
      <xdr:grpSpPr bwMode="auto">
        <a:xfrm>
          <a:off x="3914937" y="4977446"/>
          <a:ext cx="151087" cy="1416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4" name="Oval 663">
            <a:extLst>
              <a:ext uri="{FF2B5EF4-FFF2-40B4-BE49-F238E27FC236}">
                <a16:creationId xmlns:a16="http://schemas.microsoft.com/office/drawing/2014/main" id="{D830DDC7-1E98-4F2C-A37D-AF832A8308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665" name="Straight Connector 664">
            <a:extLst>
              <a:ext uri="{FF2B5EF4-FFF2-40B4-BE49-F238E27FC236}">
                <a16:creationId xmlns:a16="http://schemas.microsoft.com/office/drawing/2014/main" id="{B2051586-B03A-41D8-9556-898A30856C1D}"/>
              </a:ext>
            </a:extLst>
          </xdr:cNvPr>
          <xdr:cNvCxnSpPr>
            <a:stCxn id="664" idx="1"/>
            <a:endCxn id="66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6" name="Straight Connector 665">
            <a:extLst>
              <a:ext uri="{FF2B5EF4-FFF2-40B4-BE49-F238E27FC236}">
                <a16:creationId xmlns:a16="http://schemas.microsoft.com/office/drawing/2014/main" id="{37450A11-5671-43BD-A8A4-540D1940E7F7}"/>
              </a:ext>
            </a:extLst>
          </xdr:cNvPr>
          <xdr:cNvCxnSpPr>
            <a:stCxn id="664" idx="3"/>
            <a:endCxn id="66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22411</xdr:colOff>
      <xdr:row>25</xdr:row>
      <xdr:rowOff>145676</xdr:rowOff>
    </xdr:from>
    <xdr:to>
      <xdr:col>15</xdr:col>
      <xdr:colOff>156881</xdr:colOff>
      <xdr:row>31</xdr:row>
      <xdr:rowOff>100853</xdr:rowOff>
    </xdr:to>
    <xdr:cxnSp macro="">
      <xdr:nvCxnSpPr>
        <xdr:cNvPr id="202" name="Straight Connector 201"/>
        <xdr:cNvCxnSpPr/>
      </xdr:nvCxnSpPr>
      <xdr:spPr>
        <a:xfrm flipH="1">
          <a:off x="5289176" y="4067735"/>
          <a:ext cx="134470" cy="88526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238992</xdr:colOff>
      <xdr:row>31</xdr:row>
      <xdr:rowOff>38354</xdr:rowOff>
    </xdr:from>
    <xdr:to>
      <xdr:col>12</xdr:col>
      <xdr:colOff>359308</xdr:colOff>
      <xdr:row>31</xdr:row>
      <xdr:rowOff>148087</xdr:rowOff>
    </xdr:to>
    <xdr:grpSp>
      <xdr:nvGrpSpPr>
        <xdr:cNvPr id="154" name="Group 153"/>
        <xdr:cNvGrpSpPr/>
      </xdr:nvGrpSpPr>
      <xdr:grpSpPr>
        <a:xfrm>
          <a:off x="4362757" y="4890501"/>
          <a:ext cx="120316" cy="109733"/>
          <a:chOff x="4552393" y="5147729"/>
          <a:chExt cx="228791" cy="193248"/>
        </a:xfrm>
      </xdr:grpSpPr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186017</xdr:colOff>
      <xdr:row>31</xdr:row>
      <xdr:rowOff>108719</xdr:rowOff>
    </xdr:from>
    <xdr:to>
      <xdr:col>15</xdr:col>
      <xdr:colOff>72115</xdr:colOff>
      <xdr:row>31</xdr:row>
      <xdr:rowOff>118782</xdr:rowOff>
    </xdr:to>
    <xdr:cxnSp macro="">
      <xdr:nvCxnSpPr>
        <xdr:cNvPr id="99" name="Straight Connector 98"/>
        <xdr:cNvCxnSpPr/>
      </xdr:nvCxnSpPr>
      <xdr:spPr>
        <a:xfrm flipV="1">
          <a:off x="3928782" y="4960866"/>
          <a:ext cx="1410098" cy="10063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44010</xdr:colOff>
      <xdr:row>28</xdr:row>
      <xdr:rowOff>89901</xdr:rowOff>
    </xdr:from>
    <xdr:to>
      <xdr:col>15</xdr:col>
      <xdr:colOff>164326</xdr:colOff>
      <xdr:row>29</xdr:row>
      <xdr:rowOff>42752</xdr:rowOff>
    </xdr:to>
    <xdr:grpSp>
      <xdr:nvGrpSpPr>
        <xdr:cNvPr id="101" name="Group 100"/>
        <xdr:cNvGrpSpPr/>
      </xdr:nvGrpSpPr>
      <xdr:grpSpPr>
        <a:xfrm>
          <a:off x="5310775" y="4482607"/>
          <a:ext cx="120316" cy="109733"/>
          <a:chOff x="4552393" y="5147729"/>
          <a:chExt cx="228791" cy="193248"/>
        </a:xfrm>
      </xdr:grpSpPr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F6" sqref="F6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1" t="s">
        <v>1134</v>
      </c>
      <c r="C4" s="511"/>
      <c r="D4" s="511"/>
      <c r="E4" s="511"/>
      <c r="F4" s="511"/>
      <c r="G4" s="511"/>
      <c r="H4" s="51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 t="s">
        <v>1613</v>
      </c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2" t="s">
        <v>0</v>
      </c>
      <c r="C7" s="512" t="s">
        <v>1</v>
      </c>
      <c r="D7" s="513" t="s">
        <v>42</v>
      </c>
      <c r="E7" s="513" t="s">
        <v>43</v>
      </c>
      <c r="F7" s="513" t="s">
        <v>1135</v>
      </c>
      <c r="G7" s="514" t="s">
        <v>41</v>
      </c>
      <c r="H7" s="510" t="s">
        <v>1042</v>
      </c>
      <c r="I7" s="510" t="s">
        <v>1137</v>
      </c>
      <c r="J7" s="510" t="s">
        <v>1026</v>
      </c>
      <c r="K7" s="504" t="s">
        <v>1024</v>
      </c>
      <c r="L7" s="505"/>
    </row>
    <row r="8" spans="1:12" ht="15" customHeight="1">
      <c r="B8" s="512"/>
      <c r="C8" s="512"/>
      <c r="D8" s="513"/>
      <c r="E8" s="513"/>
      <c r="F8" s="513"/>
      <c r="G8" s="514"/>
      <c r="H8" s="510"/>
      <c r="I8" s="510"/>
      <c r="J8" s="510"/>
      <c r="K8" s="506"/>
      <c r="L8" s="507"/>
    </row>
    <row r="9" spans="1:12" ht="15" customHeight="1">
      <c r="B9" s="512"/>
      <c r="C9" s="512"/>
      <c r="D9" s="513"/>
      <c r="E9" s="513"/>
      <c r="F9" s="513"/>
      <c r="G9" s="514"/>
      <c r="H9" s="510"/>
      <c r="I9" s="510"/>
      <c r="J9" s="510"/>
      <c r="K9" s="508"/>
      <c r="L9" s="50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33 kVA MCCB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Modem 3G/4G</v>
      </c>
      <c r="D14" s="101" t="str">
        <f ca="1">IF(ISERROR(OFFSET('HARGA SATUAN'!$D$6,MATCH(C14,'HARGA SATUAN'!$C$7:$C$1492,0),0)),"",OFFSET('HARGA SATUAN'!$D$6,MATCH(C14,'HARGA SATUAN'!$C$7:$C$1492,0),0))</f>
        <v>HDW</v>
      </c>
      <c r="E14" s="101" t="str">
        <f ca="1">IF(B14="+","Unit",IF(ISERROR(OFFSET('HARGA SATUAN'!$E$6,MATCH(C14,'HARGA SATUAN'!$C$7:$C$1492,0),0)),"",OFFSET('HARGA SATUAN'!$E$6,MATCH(C14,'HARGA SATUAN'!$C$7:$C$1492,0),0)))</f>
        <v>Unit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1113900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SUMIFS(RAB!$F$14:$F$30,RAB!$C$14:$C$30,C714)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SUMIFS(RAB!$F$14:$F$30,RAB!$C$14:$C$30,C715)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SUMIFS(RAB!$F$14:$F$30,RAB!$C$14:$C$30,C716)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SUMIFS(RAB!$F$14:$F$30,RAB!$C$14:$C$30,C717)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SUMIFS(RAB!$F$14:$F$30,RAB!$C$14:$C$30,C718)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SUMIFS(RAB!$F$14:$F$30,RAB!$C$14:$C$30,C719)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SUMIFS(RAB!$F$14:$F$30,RAB!$C$14:$C$30,C720)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SUMIFS(RAB!$F$14:$F$30,RAB!$C$14:$C$30,C721)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SUMIFS(RAB!$F$14:$F$30,RAB!$C$14:$C$30,C722)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SUMIFS(RAB!$F$14:$F$30,RAB!$C$14:$C$30,C723)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SUMIFS(RAB!$F$14:$F$30,RAB!$C$14:$C$30,C724)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SUMIFS(RAB!$F$14:$F$30,RAB!$C$14:$C$30,C725)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SUMIFS(RAB!$F$14:$F$30,RAB!$C$14:$C$30,C726)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SUMIFS(RAB!$F$14:$F$30,RAB!$C$14:$C$30,C727)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SUMIFS(RAB!$F$14:$F$30,RAB!$C$14:$C$30,C728)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SUMIFS(RAB!$F$14:$F$30,RAB!$C$14:$C$30,C729)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SUMIFS(RAB!$F$14:$F$30,RAB!$C$14:$C$30,C730)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SUMIFS(RAB!$F$14:$F$30,RAB!$C$14:$C$30,C731)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SUMIFS(RAB!$F$14:$F$30,RAB!$C$14:$C$30,C732)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SUMIFS(RAB!$F$14:$F$30,RAB!$C$14:$C$30,C733)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SUMIFS(RAB!$F$14:$F$30,RAB!$C$14:$C$30,C734)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SUMIFS(RAB!$F$14:$F$30,RAB!$C$14:$C$30,C735)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SUMIFS(RAB!$F$14:$F$30,RAB!$C$14:$C$30,C736)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SUMIFS(RAB!$F$14:$F$30,RAB!$C$14:$C$30,C737)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SUMIFS(RAB!$F$14:$F$30,RAB!$C$14:$C$30,C738)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SUMIFS(RAB!$F$14:$F$30,RAB!$C$14:$C$30,C739)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SUMIFS(RAB!$F$14:$F$30,RAB!$C$14:$C$30,C740)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SUMIFS(RAB!$F$14:$F$30,RAB!$C$14:$C$30,C741)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SUMIFS(RAB!$F$14:$F$30,RAB!$C$14:$C$30,C742)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SUMIFS(RAB!$F$14:$F$30,RAB!$C$14:$C$30,C743)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SUMIFS(RAB!$F$14:$F$30,RAB!$C$14:$C$30,C744)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SUMIFS(RAB!$F$14:$F$30,RAB!$C$14:$C$30,C745)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SUMIFS(RAB!$F$14:$F$30,RAB!$C$14:$C$30,C746)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SUMIFS(RAB!$F$14:$F$30,RAB!$C$14:$C$30,C747)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SUMIFS(RAB!$F$14:$F$30,RAB!$C$14:$C$30,C748)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SUMIFS(RAB!$F$14:$F$30,RAB!$C$14:$C$30,C749)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SUMIFS(RAB!$F$14:$F$30,RAB!$C$14:$C$30,C750)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SUMIFS(RAB!$F$14:$F$30,RAB!$C$14:$C$30,C751)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SUMIFS(RAB!$F$14:$F$30,RAB!$C$14:$C$30,C752)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SUMIFS(RAB!$F$14:$F$30,RAB!$C$14:$C$30,C753)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SUMIFS(RAB!$F$14:$F$30,RAB!$C$14:$C$30,C754)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SUMIFS(RAB!$F$14:$F$30,RAB!$C$14:$C$30,C755)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SUMIFS(RAB!$F$14:$F$30,RAB!$C$14:$C$30,C756)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SUMIFS(RAB!$F$14:$F$30,RAB!$C$14:$C$30,C757)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SUMIFS(RAB!$F$14:$F$30,RAB!$C$14:$C$30,C758)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SUMIFS(RAB!$F$14:$F$30,RAB!$C$14:$C$30,C759)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SUMIFS(RAB!$F$14:$F$30,RAB!$C$14:$C$30,C760)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SUMIFS(RAB!$F$14:$F$30,RAB!$C$14:$C$30,C761)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SUMIFS(RAB!$F$14:$F$30,RAB!$C$14:$C$30,C762)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SUMIFS(RAB!$F$14:$F$30,RAB!$C$14:$C$30,C763)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SUMIFS(RAB!$F$14:$F$30,RAB!$C$14:$C$30,C764)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SUMIFS(RAB!$F$14:$F$30,RAB!$C$14:$C$30,C765)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SUMIFS(RAB!$F$14:$F$30,RAB!$C$14:$C$30,C766)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SUMIFS(RAB!$F$14:$F$30,RAB!$C$14:$C$30,C767)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SUMIFS(RAB!$F$14:$F$30,RAB!$C$14:$C$30,C768)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SUMIFS(RAB!$F$14:$F$30,RAB!$C$14:$C$30,C769)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SUMIFS(RAB!$F$14:$F$30,RAB!$C$14:$C$30,C770)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SUMIFS(RAB!$F$14:$F$30,RAB!$C$14:$C$30,C771)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SUMIFS(RAB!$F$14:$F$30,RAB!$C$14:$C$30,C772)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SUMIFS(RAB!$F$14:$F$30,RAB!$C$14:$C$30,C773)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SUMIFS(RAB!$F$14:$F$30,RAB!$C$14:$C$30,C774)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SUMIFS(RAB!$F$14:$F$30,RAB!$C$14:$C$30,C775)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SUMIFS(RAB!$F$14:$F$30,RAB!$C$14:$C$30,C776)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SUMIFS(RAB!$F$14:$F$30,RAB!$C$14:$C$30,C777)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SUMIFS(RAB!$F$14:$F$30,RAB!$C$14:$C$30,C778)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SUMIFS(RAB!$F$14:$F$30,RAB!$C$14:$C$30,C779)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SUMIFS(RAB!$F$14:$F$30,RAB!$C$14:$C$30,C780)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SUMIFS(RAB!$F$14:$F$30,RAB!$C$14:$C$30,C781)</f>
        <v>1</v>
      </c>
      <c r="E781" s="26">
        <f t="shared" ca="1" si="34"/>
        <v>1</v>
      </c>
      <c r="F781" s="26">
        <f ca="1">IF(D781=0,0,SUM($E$713:E781))</f>
        <v>2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SUMIFS(RAB!$F$14:$F$30,RAB!$C$14:$C$30,C782)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SUMIFS(RAB!$F$14:$F$30,RAB!$C$14:$C$30,C783)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SUMIFS(RAB!$F$14:$F$30,RAB!$C$14:$C$30,C784)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SUMIFS(RAB!$F$14:$F$30,RAB!$C$14:$C$30,C785)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SUMIFS(RAB!$F$14:$F$30,RAB!$C$14:$C$30,C786)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SUMIFS(RAB!$F$14:$F$30,RAB!$C$14:$C$30,C787)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SUMIFS(RAB!$F$14:$F$30,RAB!$C$14:$C$30,C788)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SUMIFS(RAB!$F$14:$F$30,RAB!$C$14:$C$30,C789)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SUMIFS(RAB!$F$14:$F$30,RAB!$C$14:$C$30,C790)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SUMIFS(RAB!$F$14:$F$30,RAB!$C$14:$C$30,C791)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SUMIFS(RAB!$F$14:$F$30,RAB!$C$14:$C$30,C792)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SUMIFS(RAB!$F$14:$F$30,RAB!$C$14:$C$30,C793)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SUMIFS(RAB!$F$14:$F$30,RAB!$C$14:$C$30,C794)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SUMIFS(RAB!$F$14:$F$30,RAB!$C$14:$C$30,C795)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SUMIFS(RAB!$F$14:$F$30,RAB!$C$14:$C$30,C796)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SUMIFS(RAB!$F$14:$F$30,RAB!$C$14:$C$30,C797)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SUMIFS(RAB!$F$14:$F$30,RAB!$C$14:$C$30,C798)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SUMIFS(RAB!$F$14:$F$30,RAB!$C$14:$C$30,C799)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SUMIFS(RAB!$F$14:$F$30,RAB!$C$14:$C$30,C800)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SUMIFS(RAB!$F$14:$F$30,RAB!$C$14:$C$30,C801)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SUMIFS(RAB!$F$14:$F$30,RAB!$C$14:$C$30,C802)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SUMIFS(RAB!$F$14:$F$30,RAB!$C$14:$C$30,C803)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SUMIFS(RAB!$F$14:$F$30,RAB!$C$14:$C$30,C804)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SUMIFS(RAB!$F$14:$F$30,RAB!$C$14:$C$30,C805)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SUMIFS(RAB!$F$14:$F$30,RAB!$C$14:$C$30,C806)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SUMIFS(RAB!$F$14:$F$30,RAB!$C$14:$C$30,C807)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SUMIFS(RAB!$F$14:$F$30,RAB!$C$14:$C$30,C808)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SUMIFS(RAB!$F$14:$F$30,RAB!$C$14:$C$30,C809)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SUMIFS(RAB!$F$14:$F$30,RAB!$C$14:$C$30,C810)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SUMIFS(RAB!$F$14:$F$30,RAB!$C$14:$C$30,C811)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SUMIFS(RAB!$F$14:$F$30,RAB!$C$14:$C$30,C812)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SUMIFS(RAB!$F$14:$F$30,RAB!$C$14:$C$30,C813)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SUMIFS(RAB!$F$14:$F$30,RAB!$C$14:$C$30,C814)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SUMIFS(RAB!$F$14:$F$30,RAB!$C$14:$C$30,C815)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SUMIFS(RAB!$F$14:$F$30,RAB!$C$14:$C$30,C816)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SUMIFS(RAB!$F$14:$F$30,RAB!$C$14:$C$30,C817)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SUMIFS(RAB!$F$14:$F$30,RAB!$C$14:$C$30,C818)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SUMIFS(RAB!$F$14:$F$30,RAB!$C$14:$C$30,C819)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SUMIFS(RAB!$F$14:$F$30,RAB!$C$14:$C$30,C820)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SUMIFS(RAB!$F$14:$F$30,RAB!$C$14:$C$30,C821)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SUMIFS(RAB!$F$14:$F$30,RAB!$C$14:$C$30,C822)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SUMIFS(RAB!$F$14:$F$30,RAB!$C$14:$C$30,C823)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SUMIFS(RAB!$F$14:$F$30,RAB!$C$14:$C$30,C824)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SUMIFS(RAB!$F$14:$F$30,RAB!$C$14:$C$30,C825)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SUMIFS(RAB!$F$14:$F$30,RAB!$C$14:$C$30,C826)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SUMIFS(RAB!$F$14:$F$30,RAB!$C$14:$C$30,C827)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SUMIFS(RAB!$F$14:$F$30,RAB!$C$14:$C$30,C828)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SUMIFS(RAB!$F$14:$F$30,RAB!$C$14:$C$30,C829)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SUMIFS(RAB!$F$14:$F$30,RAB!$C$14:$C$30,C830)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SUMIFS(RAB!$F$14:$F$30,RAB!$C$14:$C$30,C831)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SUMIFS(RAB!$F$14:$F$30,RAB!$C$14:$C$30,C832)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SUMIFS(RAB!$F$14:$F$30,RAB!$C$14:$C$30,C833)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SUMIFS(RAB!$F$14:$F$30,RAB!$C$14:$C$30,C834)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SUMIFS(RAB!$F$14:$F$30,RAB!$C$14:$C$30,C835)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SUMIFS(RAB!$F$14:$F$30,RAB!$C$14:$C$30,C836)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SUMIFS(RAB!$F$14:$F$30,RAB!$C$14:$C$30,C837)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SUMIFS(RAB!$F$14:$F$30,RAB!$C$14:$C$30,C838)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SUMIFS(RAB!$F$14:$F$30,RAB!$C$14:$C$30,C839)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SUMIFS(RAB!$F$14:$F$30,RAB!$C$14:$C$30,C840)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SUMIFS(RAB!$F$14:$F$30,RAB!$C$14:$C$30,C841)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SUMIFS(RAB!$F$14:$F$30,RAB!$C$14:$C$30,C842)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SUMIFS(RAB!$F$14:$F$30,RAB!$C$14:$C$30,C843)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SUMIFS(RAB!$F$14:$F$30,RAB!$C$14:$C$30,C844)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SUMIFS(RAB!$F$14:$F$30,RAB!$C$14:$C$30,C845)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SUMIFS(RAB!$F$14:$F$30,RAB!$C$14:$C$30,C846)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SUMIFS(RAB!$F$14:$F$30,RAB!$C$14:$C$30,C847)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SUMIFS(RAB!$F$14:$F$30,RAB!$C$14:$C$30,C848)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SUMIFS(RAB!$F$14:$F$30,RAB!$C$14:$C$30,C849)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SUMIFS(RAB!$F$14:$F$30,RAB!$C$14:$C$30,C850)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SUMIFS(RAB!$F$14:$F$30,RAB!$C$14:$C$30,C851)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SUMIFS(RAB!$F$14:$F$30,RAB!$C$14:$C$30,C852)</f>
        <v>1</v>
      </c>
      <c r="E852" s="26">
        <f t="shared" ca="1" si="35"/>
        <v>1</v>
      </c>
      <c r="F852" s="26">
        <f ca="1">IF(D852=0,0,SUM($E$713:E852))</f>
        <v>3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SUMIFS(RAB!$F$14:$F$30,RAB!$C$14:$C$30,C853)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SUMIFS(RAB!$F$14:$F$30,RAB!$C$14:$C$30,C854)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SUMIFS(RAB!$F$14:$F$30,RAB!$C$14:$C$30,C855)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SUMIFS(RAB!$F$14:$F$30,RAB!$C$14:$C$30,C856)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SUMIFS(RAB!$F$14:$F$30,RAB!$C$14:$C$30,C857)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SUMIFS(RAB!$F$14:$F$30,RAB!$C$14:$C$30,C858)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SUMIFS(RAB!$F$14:$F$30,RAB!$C$14:$C$30,C859)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SUMIFS(RAB!$F$14:$F$30,RAB!$C$14:$C$30,C860)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SUMIFS(RAB!$F$14:$F$30,RAB!$C$14:$C$30,C861)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SUMIFS(RAB!$F$14:$F$30,RAB!$C$14:$C$30,C862)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SUMIFS(RAB!$F$14:$F$30,RAB!$C$14:$C$30,C863)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SUMIFS(RAB!$F$14:$F$30,RAB!$C$14:$C$30,C864)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SUMIFS(RAB!$F$14:$F$30,RAB!$C$14:$C$30,C865)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SUMIFS(RAB!$F$14:$F$30,RAB!$C$14:$C$30,C866)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SUMIFS(RAB!$F$14:$F$30,RAB!$C$14:$C$30,C867)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SUMIFS(RAB!$F$14:$F$30,RAB!$C$14:$C$30,C868)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SUMIFS(RAB!$F$14:$F$30,RAB!$C$14:$C$30,C869)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SUMIFS(RAB!$F$14:$F$30,RAB!$C$14:$C$30,C870)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SUMIFS(RAB!$F$14:$F$30,RAB!$C$14:$C$30,C871)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SUMIFS(RAB!$F$14:$F$30,RAB!$C$14:$C$30,C872)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SUMIFS(RAB!$F$14:$F$30,RAB!$C$14:$C$30,C873)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SUMIFS(RAB!$F$14:$F$30,RAB!$C$14:$C$30,C874)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SUMIFS(RAB!$F$14:$F$30,RAB!$C$14:$C$30,C875)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SUMIFS(RAB!$F$14:$F$30,RAB!$C$14:$C$30,C876)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SUMIFS(RAB!$F$14:$F$30,RAB!$C$14:$C$30,C877)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SUMIFS(RAB!$F$14:$F$30,RAB!$C$14:$C$30,C878)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SUMIFS(RAB!$F$14:$F$30,RAB!$C$14:$C$30,C879)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SUMIFS(RAB!$F$14:$F$30,RAB!$C$14:$C$30,C880)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SUMIFS(RAB!$F$14:$F$30,RAB!$C$14:$C$30,C881)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SUMIFS(RAB!$F$14:$F$30,RAB!$C$14:$C$30,C882)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SUMIFS(RAB!$F$14:$F$30,RAB!$C$14:$C$30,C883)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SUMIFS(RAB!$F$14:$F$30,RAB!$C$14:$C$30,C884)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SUMIFS(RAB!$F$14:$F$30,RAB!$C$14:$C$30,C885)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SUMIFS(RAB!$F$14:$F$30,RAB!$C$14:$C$30,C886)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SUMIFS(RAB!$F$14:$F$30,RAB!$C$14:$C$30,C887)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SUMIFS(RAB!$F$14:$F$30,RAB!$C$14:$C$30,C888)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SUMIFS(RAB!$F$14:$F$30,RAB!$C$14:$C$30,C889)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SUMIFS(RAB!$F$14:$F$30,RAB!$C$14:$C$30,C890)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SUMIFS(RAB!$F$14:$F$30,RAB!$C$14:$C$30,C891)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SUMIFS(RAB!$F$14:$F$30,RAB!$C$14:$C$30,C892)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SUMIFS(RAB!$F$14:$F$30,RAB!$C$14:$C$30,C893)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SUMIFS(RAB!$F$14:$F$30,RAB!$C$14:$C$30,C894)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SUMIFS(RAB!$F$14:$F$30,RAB!$C$14:$C$30,C895)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SUMIFS(RAB!$F$14:$F$30,RAB!$C$14:$C$30,C896)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SUMIFS(RAB!$F$14:$F$30,RAB!$C$14:$C$30,C897)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SUMIFS(RAB!$F$14:$F$30,RAB!$C$14:$C$30,C898)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SUMIFS(RAB!$F$14:$F$30,RAB!$C$14:$C$30,C899)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SUMIFS(RAB!$F$14:$F$30,RAB!$C$14:$C$30,C900)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SUMIFS(RAB!$F$14:$F$30,RAB!$C$14:$C$30,C901)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SUMIFS(RAB!$F$14:$F$30,RAB!$C$14:$C$30,C902)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SUMIFS(RAB!$F$14:$F$30,RAB!$C$14:$C$30,C903)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SUMIFS(RAB!$F$14:$F$30,RAB!$C$14:$C$30,C904)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SUMIFS(RAB!$F$14:$F$30,RAB!$C$14:$C$30,C905)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SUMIFS(RAB!$F$14:$F$30,RAB!$C$14:$C$30,C906)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SUMIFS(RAB!$F$14:$F$30,RAB!$C$14:$C$30,C907)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SUMIFS(RAB!$F$14:$F$30,RAB!$C$14:$C$30,C908)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SUMIFS(RAB!$F$14:$F$30,RAB!$C$14:$C$30,C909)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SUMIFS(RAB!$F$14:$F$30,RAB!$C$14:$C$30,C910)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SUMIFS(RAB!$F$14:$F$30,RAB!$C$14:$C$30,C911)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SUMIFS(RAB!$F$14:$F$30,RAB!$C$14:$C$30,C912)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SUMIFS(RAB!$F$14:$F$30,RAB!$C$14:$C$30,C913)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SUMIFS(RAB!$F$14:$F$30,RAB!$C$14:$C$30,C914)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SUMIFS(RAB!$F$14:$F$30,RAB!$C$14:$C$30,C915)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SUMIFS(RAB!$F$14:$F$30,RAB!$C$14:$C$30,C916)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SUMIFS(RAB!$F$14:$F$30,RAB!$C$14:$C$30,C917)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SUMIFS(RAB!$F$14:$F$30,RAB!$C$14:$C$30,C918)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SUMIFS(RAB!$F$14:$F$30,RAB!$C$14:$C$30,C919)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SUMIFS(RAB!$F$14:$F$30,RAB!$C$14:$C$30,C920)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SUMIFS(RAB!$F$14:$F$30,RAB!$C$14:$C$30,C921)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SUMIFS(RAB!$F$14:$F$30,RAB!$C$14:$C$30,C922)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SUMIFS(RAB!$F$14:$F$30,RAB!$C$14:$C$30,C923)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SUMIFS(RAB!$F$14:$F$30,RAB!$C$14:$C$30,C924)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SUMIFS(RAB!$F$14:$F$30,RAB!$C$14:$C$30,C925)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SUMIFS(RAB!$F$14:$F$30,RAB!$C$14:$C$30,C926)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SUMIFS(RAB!$F$14:$F$30,RAB!$C$14:$C$30,C927)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SUMIFS(RAB!$F$14:$F$30,RAB!$C$14:$C$30,C928)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SUMIFS(RAB!$F$14:$F$30,RAB!$C$14:$C$30,C929)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SUMIFS(RAB!$F$14:$F$30,RAB!$C$14:$C$30,C930)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SUMIFS(RAB!$F$14:$F$30,RAB!$C$14:$C$30,C931)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SUMIFS(RAB!$F$14:$F$30,RAB!$C$14:$C$30,C932)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SUMIFS(RAB!$F$14:$F$30,RAB!$C$14:$C$30,C933)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SUMIFS(RAB!$F$14:$F$30,RAB!$C$14:$C$30,C934)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SUMIFS(RAB!$F$14:$F$30,RAB!$C$14:$C$30,C935)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SUMIFS(RAB!$F$14:$F$30,RAB!$C$14:$C$30,C936)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SUMIFS(RAB!$F$14:$F$30,RAB!$C$14:$C$30,C937)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SUMIFS(RAB!$F$14:$F$30,RAB!$C$14:$C$30,C938)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SUMIFS(RAB!$F$14:$F$30,RAB!$C$14:$C$30,C939)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SUMIFS(RAB!$F$14:$F$30,RAB!$C$14:$C$30,C940)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SUMIFS(RAB!$F$14:$F$30,RAB!$C$14:$C$30,C941)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SUMIFS(RAB!$F$14:$F$30,RAB!$C$14:$C$30,C942)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SUMIFS(RAB!$F$14:$F$30,RAB!$C$14:$C$30,C943)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SUMIFS(RAB!$F$14:$F$30,RAB!$C$14:$C$30,C944)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SUMIFS(RAB!$F$14:$F$30,RAB!$C$14:$C$30,C945)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SUMIFS(RAB!$F$14:$F$30,RAB!$C$14:$C$30,C946)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SUMIFS(RAB!$F$14:$F$30,RAB!$C$14:$C$30,C947)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SUMIFS(RAB!$F$14:$F$30,RAB!$C$14:$C$30,C948)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SUMIFS(RAB!$F$14:$F$30,RAB!$C$14:$C$30,C949)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SUMIFS(RAB!$F$14:$F$30,RAB!$C$14:$C$30,C950)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SUMIFS(RAB!$F$14:$F$30,RAB!$C$14:$C$30,C951)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SUMIFS(RAB!$F$14:$F$30,RAB!$C$14:$C$30,C952)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SUMIFS(RAB!$F$14:$F$30,RAB!$C$14:$C$30,C953)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SUMIFS(RAB!$F$14:$F$30,RAB!$C$14:$C$30,C954)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SUMIFS(RAB!$F$14:$F$30,RAB!$C$14:$C$30,C955)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SUMIFS(RAB!$F$14:$F$30,RAB!$C$14:$C$30,C956)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SUMIFS(RAB!$F$14:$F$30,RAB!$C$14:$C$30,C957)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SUMIFS(RAB!$F$14:$F$30,RAB!$C$14:$C$30,C958)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SUMIFS(RAB!$F$14:$F$30,RAB!$C$14:$C$30,C959)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SUMIFS(RAB!$F$14:$F$30,RAB!$C$14:$C$30,C960)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SUMIFS(RAB!$F$14:$F$30,RAB!$C$14:$C$30,C961)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SUMIFS(RAB!$F$14:$F$30,RAB!$C$14:$C$30,C962)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SUMIFS(RAB!$F$14:$F$30,RAB!$C$14:$C$30,C963)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SUMIFS(RAB!$F$14:$F$30,RAB!$C$14:$C$30,C964)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SUMIFS(RAB!$F$14:$F$30,RAB!$C$14:$C$30,C965)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SUMIFS(RAB!$F$14:$F$30,RAB!$C$14:$C$30,C966)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SUMIFS(RAB!$F$14:$F$30,RAB!$C$14:$C$30,C967)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SUMIFS(RAB!$F$14:$F$30,RAB!$C$14:$C$30,C968)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SUMIFS(RAB!$F$14:$F$30,RAB!$C$14:$C$30,C969)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SUMIFS(RAB!$F$14:$F$30,RAB!$C$14:$C$30,C970)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SUMIFS(RAB!$F$14:$F$30,RAB!$C$14:$C$30,C971)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SUMIFS(RAB!$F$14:$F$30,RAB!$C$14:$C$30,C972)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SUMIFS(RAB!$F$14:$F$30,RAB!$C$14:$C$30,C973)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SUMIFS(RAB!$F$14:$F$30,RAB!$C$14:$C$30,C974)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SUMIFS(RAB!$F$14:$F$30,RAB!$C$14:$C$30,C975)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SUMIFS(RAB!$F$14:$F$30,RAB!$C$14:$C$30,C976)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SUMIFS(RAB!$F$14:$F$30,RAB!$C$14:$C$30,C977)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SUMIFS(RAB!$F$14:$F$30,RAB!$C$14:$C$30,C978)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SUMIFS(RAB!$F$14:$F$30,RAB!$C$14:$C$30,C979)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SUMIFS(RAB!$F$14:$F$30,RAB!$C$14:$C$30,C980)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SUMIFS(RAB!$F$14:$F$30,RAB!$C$14:$C$30,C981)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SUMIFS(RAB!$F$14:$F$30,RAB!$C$14:$C$30,C982)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SUMIFS(RAB!$F$14:$F$30,RAB!$C$14:$C$30,C983)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SUMIFS(RAB!$F$14:$F$30,RAB!$C$14:$C$30,C984)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SUMIFS(RAB!$F$14:$F$30,RAB!$C$14:$C$30,C985)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SUMIFS(RAB!$F$14:$F$30,RAB!$C$14:$C$30,C986)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SUMIFS(RAB!$F$14:$F$30,RAB!$C$14:$C$30,C987)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SUMIFS(RAB!$F$14:$F$30,RAB!$C$14:$C$30,C988)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SUMIFS(RAB!$F$14:$F$30,RAB!$C$14:$C$30,C989)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SUMIFS(RAB!$F$14:$F$30,RAB!$C$14:$C$30,C990)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SUMIFS(RAB!$F$14:$F$30,RAB!$C$14:$C$30,C991)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SUMIFS(RAB!$F$14:$F$30,RAB!$C$14:$C$30,C992)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SUMIFS(RAB!$F$14:$F$30,RAB!$C$14:$C$30,C993)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SUMIFS(RAB!$F$14:$F$30,RAB!$C$14:$C$30,C994)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SUMIFS(RAB!$F$14:$F$30,RAB!$C$14:$C$30,C995)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SUMIFS(RAB!$F$14:$F$30,RAB!$C$14:$C$30,C996)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SUMIFS(RAB!$F$14:$F$30,RAB!$C$14:$C$30,C997)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SUMIFS(RAB!$F$14:$F$30,RAB!$C$14:$C$30,C998)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SUMIFS(RAB!$F$14:$F$30,RAB!$C$14:$C$30,C999)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SUMIFS(RAB!$F$14:$F$30,RAB!$C$14:$C$30,C1000)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SUMIFS(RAB!$F$14:$F$30,RAB!$C$14:$C$30,C1001)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SUMIFS(RAB!$F$14:$F$30,RAB!$C$14:$C$30,C1002)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SUMIFS(RAB!$F$14:$F$30,RAB!$C$14:$C$30,C1003)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SUMIFS(RAB!$F$14:$F$30,RAB!$C$14:$C$30,C1004)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SUMIFS(RAB!$F$14:$F$30,RAB!$C$14:$C$30,C1005)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SUMIFS(RAB!$F$14:$F$30,RAB!$C$14:$C$30,C1006)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SUMIFS(RAB!$F$14:$F$30,RAB!$C$14:$C$30,C1007)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SUMIFS(RAB!$F$14:$F$30,RAB!$C$14:$C$30,C1008)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SUMIFS(RAB!$F$14:$F$30,RAB!$C$14:$C$30,C1009)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SUMIFS(RAB!$F$14:$F$30,RAB!$C$14:$C$30,C1010)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SUMIFS(RAB!$F$14:$F$30,RAB!$C$14:$C$30,C1011)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SUMIFS(RAB!$F$14:$F$30,RAB!$C$14:$C$30,C1012)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SUMIFS(RAB!$F$14:$F$30,RAB!$C$14:$C$30,C1013)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SUMIFS(RAB!$F$14:$F$30,RAB!$C$14:$C$30,C1014)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SUMIFS(RAB!$F$14:$F$30,RAB!$C$14:$C$30,C1015)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SUMIFS(RAB!$F$14:$F$30,RAB!$C$14:$C$30,C1016)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SUMIFS(RAB!$F$14:$F$30,RAB!$C$14:$C$30,C1017)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SUMIFS(RAB!$F$14:$F$30,RAB!$C$14:$C$30,C1018)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SUMIFS(RAB!$F$14:$F$30,RAB!$C$14:$C$30,C1019)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SUMIFS(RAB!$F$14:$F$30,RAB!$C$14:$C$30,C1020)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SUMIFS(RAB!$F$14:$F$30,RAB!$C$14:$C$30,C1021)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SUMIFS(RAB!$F$14:$F$30,RAB!$C$14:$C$30,C1022)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SUMIFS(RAB!$F$14:$F$30,RAB!$C$14:$C$30,C1023)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SUMIFS(RAB!$F$14:$F$30,RAB!$C$14:$C$30,C1024)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SUMIFS(RAB!$F$14:$F$30,RAB!$C$14:$C$30,C1025)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SUMIFS(RAB!$F$14:$F$30,RAB!$C$14:$C$30,C1026)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SUMIFS(RAB!$F$14:$F$30,RAB!$C$14:$C$30,C1027)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SUMIFS(RAB!$F$14:$F$30,RAB!$C$14:$C$30,C1028)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SUMIFS(RAB!$F$14:$F$30,RAB!$C$14:$C$30,C1029)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SUMIFS(RAB!$F$14:$F$30,RAB!$C$14:$C$30,C1030)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SUMIFS(RAB!$F$14:$F$30,RAB!$C$14:$C$30,C1031)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SUMIFS(RAB!$F$14:$F$30,RAB!$C$14:$C$30,C1032)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SUMIFS(RAB!$F$14:$F$30,RAB!$C$14:$C$30,C1033)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SUMIFS(RAB!$F$14:$F$30,RAB!$C$14:$C$30,C1034)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SUMIFS(RAB!$F$14:$F$30,RAB!$C$14:$C$30,C1035)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SUMIFS(RAB!$F$14:$F$30,RAB!$C$14:$C$30,C1036)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SUMIFS(RAB!$F$14:$F$30,RAB!$C$14:$C$30,C1037)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SUMIFS(RAB!$F$14:$F$30,RAB!$C$14:$C$30,C1038)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SUMIFS(RAB!$F$14:$F$30,RAB!$C$14:$C$30,C1039)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SUMIFS(RAB!$F$14:$F$30,RAB!$C$14:$C$30,C1040)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SUMIFS(RAB!$F$14:$F$30,RAB!$C$14:$C$30,C1041)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SUMIFS(RAB!$F$14:$F$30,RAB!$C$14:$C$30,C1042)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SUMIFS(RAB!$F$14:$F$30,RAB!$C$14:$C$30,C1043)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SUMIFS(RAB!$F$14:$F$30,RAB!$C$14:$C$30,C1044)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SUMIFS(RAB!$F$14:$F$30,RAB!$C$14:$C$30,C1045)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SUMIFS(RAB!$F$14:$F$30,RAB!$C$14:$C$30,C1046)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SUMIFS(RAB!$F$14:$F$30,RAB!$C$14:$C$30,C1047)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SUMIFS(RAB!$F$14:$F$30,RAB!$C$14:$C$30,C1048)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SUMIFS(RAB!$F$14:$F$30,RAB!$C$14:$C$30,C1049)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SUMIFS(RAB!$F$14:$F$30,RAB!$C$14:$C$30,C1050)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SUMIFS(RAB!$F$14:$F$30,RAB!$C$14:$C$30,C1051)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SUMIFS(RAB!$F$14:$F$30,RAB!$C$14:$C$30,C1052)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SUMIFS(RAB!$F$14:$F$30,RAB!$C$14:$C$30,C1053)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SUMIFS(RAB!$F$14:$F$30,RAB!$C$14:$C$30,C1054)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SUMIFS(RAB!$F$14:$F$30,RAB!$C$14:$C$30,C1055)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SUMIFS(RAB!$F$14:$F$30,RAB!$C$14:$C$30,C1056)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SUMIFS(RAB!$F$14:$F$30,RAB!$C$14:$C$30,C1057)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SUMIFS(RAB!$F$14:$F$30,RAB!$C$14:$C$30,C1058)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SUMIFS(RAB!$F$14:$F$30,RAB!$C$14:$C$30,C1059)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SUMIFS(RAB!$F$14:$F$30,RAB!$C$14:$C$30,C1060)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SUMIFS(RAB!$F$14:$F$30,RAB!$C$14:$C$30,C1061)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SUMIFS(RAB!$F$14:$F$30,RAB!$C$14:$C$30,C1062)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SUMIFS(RAB!$F$14:$F$30,RAB!$C$14:$C$30,C1063)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SUMIFS(RAB!$F$14:$F$30,RAB!$C$14:$C$30,C1064)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SUMIFS(RAB!$F$14:$F$30,RAB!$C$14:$C$30,C1065)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SUMIFS(RAB!$F$14:$F$30,RAB!$C$14:$C$30,C1066)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SUMIFS(RAB!$F$14:$F$30,RAB!$C$14:$C$30,C1067)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SUMIFS(RAB!$F$14:$F$30,RAB!$C$14:$C$30,C1068)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SUMIFS(RAB!$F$14:$F$30,RAB!$C$14:$C$30,C1069)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SUMIFS(RAB!$F$14:$F$30,RAB!$C$14:$C$30,C1070)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SUMIFS(RAB!$F$14:$F$30,RAB!$C$14:$C$30,C1071)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SUMIFS(RAB!$F$14:$F$30,RAB!$C$14:$C$30,C1072)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SUMIFS(RAB!$F$14:$F$30,RAB!$C$14:$C$30,C1073)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SUMIFS(RAB!$F$14:$F$30,RAB!$C$14:$C$30,C1074)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SUMIFS(RAB!$F$14:$F$30,RAB!$C$14:$C$30,C1075)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SUMIFS(RAB!$F$14:$F$30,RAB!$C$14:$C$30,C1076)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SUMIFS(RAB!$F$14:$F$30,RAB!$C$14:$C$30,C1077)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SUMIFS(RAB!$F$14:$F$30,RAB!$C$14:$C$30,C1078)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SUMIFS(RAB!$F$14:$F$30,RAB!$C$14:$C$30,C1079)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SUMIFS(RAB!$F$14:$F$30,RAB!$C$14:$C$30,C1080)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SUMIFS(RAB!$F$14:$F$30,RAB!$C$14:$C$30,C1081)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SUMIFS(RAB!$F$14:$F$30,RAB!$C$14:$C$30,C1082)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SUMIFS(RAB!$F$14:$F$30,RAB!$C$14:$C$30,C1083)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SUMIFS(RAB!$F$14:$F$30,RAB!$C$14:$C$30,C1084)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SUMIFS(RAB!$F$14:$F$30,RAB!$C$14:$C$30,C1085)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SUMIFS(RAB!$F$14:$F$30,RAB!$C$14:$C$30,C1086)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SUMIFS(RAB!$F$14:$F$30,RAB!$C$14:$C$30,C1087)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SUMIFS(RAB!$F$14:$F$30,RAB!$C$14:$C$30,C1088)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SUMIFS(RAB!$F$14:$F$30,RAB!$C$14:$C$30,C1089)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SUMIFS(RAB!$F$14:$F$30,RAB!$C$14:$C$30,C1090)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SUMIFS(RAB!$F$14:$F$30,RAB!$C$14:$C$30,C1091)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SUMIFS(RAB!$F$14:$F$30,RAB!$C$14:$C$30,C1092)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SUMIFS(RAB!$F$14:$F$30,RAB!$C$14:$C$30,C1093)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SUMIFS(RAB!$F$14:$F$30,RAB!$C$14:$C$30,C1094)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SUMIFS(RAB!$F$14:$F$30,RAB!$C$14:$C$30,C1095)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SUMIFS(RAB!$F$14:$F$30,RAB!$C$14:$C$30,C1096)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SUMIFS(RAB!$F$14:$F$30,RAB!$C$14:$C$30,C1097)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SUMIFS(RAB!$F$14:$F$30,RAB!$C$14:$C$30,C1098)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SUMIFS(RAB!$F$14:$F$30,RAB!$C$14:$C$30,C1099)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SUMIFS(RAB!$F$14:$F$30,RAB!$C$14:$C$30,C1100)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SUMIFS(RAB!$F$14:$F$30,RAB!$C$14:$C$30,C1101)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SUMIFS(RAB!$F$14:$F$30,RAB!$C$14:$C$30,C1102)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SUMIFS(RAB!$F$14:$F$30,RAB!$C$14:$C$30,C1103)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SUMIFS(RAB!$F$14:$F$30,RAB!$C$14:$C$30,C1104)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SUMIFS(RAB!$F$14:$F$30,RAB!$C$14:$C$30,C1105)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SUMIFS(RAB!$F$14:$F$30,RAB!$C$14:$C$30,C1106)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SUMIFS(RAB!$F$14:$F$30,RAB!$C$14:$C$30,C1107)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SUMIFS(RAB!$F$14:$F$30,RAB!$C$14:$C$30,C1108)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SUMIFS(RAB!$F$14:$F$30,RAB!$C$14:$C$30,C1109)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SUMIFS(RAB!$F$14:$F$30,RAB!$C$14:$C$30,C1110)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SUMIFS(RAB!$F$14:$F$30,RAB!$C$14:$C$30,C1111)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SUMIFS(RAB!$F$14:$F$30,RAB!$C$14:$C$30,C1112)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SUMIFS(RAB!$F$14:$F$30,RAB!$C$14:$C$30,C1113)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SUMIFS(RAB!$F$14:$F$30,RAB!$C$14:$C$30,C1114)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SUMIFS(RAB!$F$14:$F$30,RAB!$C$14:$C$30,C1115)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SUMIFS(RAB!$F$14:$F$30,RAB!$C$14:$C$30,C1116)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SUMIFS(RAB!$F$14:$F$30,RAB!$C$14:$C$30,C1117)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SUMIFS(RAB!$F$14:$F$30,RAB!$C$14:$C$30,C1118)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SUMIFS(RAB!$F$14:$F$30,RAB!$C$14:$C$30,C1119)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SUMIFS(RAB!$F$14:$F$30,RAB!$C$14:$C$30,C1120)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SUMIFS(RAB!$F$14:$F$30,RAB!$C$14:$C$30,C1121)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SUMIFS(RAB!$F$14:$F$30,RAB!$C$14:$C$30,C1122)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SUMIFS(RAB!$F$14:$F$30,RAB!$C$14:$C$30,C1123)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SUMIFS(RAB!$F$14:$F$30,RAB!$C$14:$C$30,C1124)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SUMIFS(RAB!$F$14:$F$30,RAB!$C$14:$C$30,C1125)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SUMIFS(RAB!$F$14:$F$30,RAB!$C$14:$C$30,C1126)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SUMIFS(RAB!$F$14:$F$30,RAB!$C$14:$C$30,C1127)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SUMIFS(RAB!$F$14:$F$30,RAB!$C$14:$C$30,C1128)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SUMIFS(RAB!$F$14:$F$30,RAB!$C$14:$C$30,C1129)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SUMIFS(RAB!$F$14:$F$30,RAB!$C$14:$C$30,C1130)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SUMIFS(RAB!$F$14:$F$30,RAB!$C$14:$C$30,C1131)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SUMIFS(RAB!$F$14:$F$30,RAB!$C$14:$C$30,C1132)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SUMIFS(RAB!$F$14:$F$30,RAB!$C$14:$C$30,C1133)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SUMIFS(RAB!$F$14:$F$30,RAB!$C$14:$C$30,C1134)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SUMIFS(RAB!$F$14:$F$30,RAB!$C$14:$C$30,C1135)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SUMIFS(RAB!$F$14:$F$30,RAB!$C$14:$C$30,C1136)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SUMIFS(RAB!$F$14:$F$30,RAB!$C$14:$C$30,C1137)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SUMIFS(RAB!$F$14:$F$30,RAB!$C$14:$C$30,C1138)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SUMIFS(RAB!$F$14:$F$30,RAB!$C$14:$C$30,C1139)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SUMIFS(RAB!$F$14:$F$30,RAB!$C$14:$C$30,C1140)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SUMIFS(RAB!$F$14:$F$30,RAB!$C$14:$C$30,C1141)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SUMIFS(RAB!$F$14:$F$30,RAB!$C$14:$C$30,C1142)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SUMIFS(RAB!$F$14:$F$30,RAB!$C$14:$C$30,C1143)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SUMIFS(RAB!$F$14:$F$30,RAB!$C$14:$C$30,C1144)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SUMIFS(RAB!$F$14:$F$30,RAB!$C$14:$C$30,C1145)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SUMIFS(RAB!$F$14:$F$30,RAB!$C$14:$C$30,C1146)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SUMIFS(RAB!$F$14:$F$30,RAB!$C$14:$C$30,C1147)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SUMIFS(RAB!$F$14:$F$30,RAB!$C$14:$C$30,C1148)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SUMIFS(RAB!$F$14:$F$30,RAB!$C$14:$C$30,C1149)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SUMIFS(RAB!$F$14:$F$30,RAB!$C$14:$C$30,C1150)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SUMIFS(RAB!$F$14:$F$30,RAB!$C$14:$C$30,C1151)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SUMIFS(RAB!$F$14:$F$30,RAB!$C$14:$C$30,C1152)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SUMIFS(RAB!$F$14:$F$30,RAB!$C$14:$C$30,C1153)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SUMIFS(RAB!$F$14:$F$30,RAB!$C$14:$C$30,C1154)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SUMIFS(RAB!$F$14:$F$30,RAB!$C$14:$C$30,C1155)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SUMIFS(RAB!$F$14:$F$30,RAB!$C$14:$C$30,C1156)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SUMIFS(RAB!$F$14:$F$30,RAB!$C$14:$C$30,C1157)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SUMIFS(RAB!$F$14:$F$30,RAB!$C$14:$C$30,C1158)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SUMIFS(RAB!$F$14:$F$30,RAB!$C$14:$C$30,C1159)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SUMIFS(RAB!$F$14:$F$30,RAB!$C$14:$C$30,C1160)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SUMIFS(RAB!$F$14:$F$30,RAB!$C$14:$C$30,C1161)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SUMIFS(RAB!$F$14:$F$30,RAB!$C$14:$C$30,C1162)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SUMIFS(RAB!$F$14:$F$30,RAB!$C$14:$C$30,C1163)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SUMIFS(RAB!$F$14:$F$30,RAB!$C$14:$C$30,C1164)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SUMIFS(RAB!$F$14:$F$30,RAB!$C$14:$C$30,C1165)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SUMIFS(RAB!$F$14:$F$30,RAB!$C$14:$C$30,C1166)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SUMIFS(RAB!$F$14:$F$30,RAB!$C$14:$C$30,C1167)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SUMIFS(RAB!$F$14:$F$30,RAB!$C$14:$C$30,C1168)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SUMIFS(RAB!$F$14:$F$30,RAB!$C$14:$C$30,C1169)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SUMIFS(RAB!$F$14:$F$30,RAB!$C$14:$C$30,C1170)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SUMIFS(RAB!$F$14:$F$30,RAB!$C$14:$C$30,C1171)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SUMIFS(RAB!$F$14:$F$30,RAB!$C$14:$C$30,C1172)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SUMIFS(RAB!$F$14:$F$30,RAB!$C$14:$C$30,C1173)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SUMIFS(RAB!$F$14:$F$30,RAB!$C$14:$C$30,C1174)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SUMIFS(RAB!$F$14:$F$30,RAB!$C$14:$C$30,C1175)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SUMIFS(RAB!$F$14:$F$30,RAB!$C$14:$C$30,C1176)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SUMIFS(RAB!$F$14:$F$30,RAB!$C$14:$C$30,C1177)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SUMIFS(RAB!$F$14:$F$30,RAB!$C$14:$C$30,C1178)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SUMIFS(RAB!$F$14:$F$30,RAB!$C$14:$C$30,C1179)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SUMIFS(RAB!$F$14:$F$30,RAB!$C$14:$C$30,C1180)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SUMIFS(RAB!$F$14:$F$30,RAB!$C$14:$C$30,C1181)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SUMIFS(RAB!$F$14:$F$30,RAB!$C$14:$C$30,C1182)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SUMIFS(RAB!$F$14:$F$30,RAB!$C$14:$C$30,C1183)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SUMIFS(RAB!$F$14:$F$30,RAB!$C$14:$C$30,C1184)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SUMIFS(RAB!$F$14:$F$30,RAB!$C$14:$C$30,C1185)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SUMIFS(RAB!$F$14:$F$30,RAB!$C$14:$C$30,C1186)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SUMIFS(RAB!$F$14:$F$30,RAB!$C$14:$C$30,C1187)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SUMIFS(RAB!$F$14:$F$30,RAB!$C$14:$C$30,C1188)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SUMIFS(RAB!$F$14:$F$30,RAB!$C$14:$C$30,C1189)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SUMIFS(RAB!$F$14:$F$30,RAB!$C$14:$C$30,C1190)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SUMIFS(RAB!$F$14:$F$30,RAB!$C$14:$C$30,C1191)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SUMIFS(RAB!$F$14:$F$30,RAB!$C$14:$C$30,C1192)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SUMIFS(RAB!$F$14:$F$30,RAB!$C$14:$C$30,C1193)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SUMIFS(RAB!$F$14:$F$30,RAB!$C$14:$C$30,C1194)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SUMIFS(RAB!$F$14:$F$30,RAB!$C$14:$C$30,C1195)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SUMIFS(RAB!$F$14:$F$30,RAB!$C$14:$C$30,C1196)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SUMIFS(RAB!$F$14:$F$30,RAB!$C$14:$C$30,C1197)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SUMIFS(RAB!$F$14:$F$30,RAB!$C$14:$C$30,C1198)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SUMIFS(RAB!$F$14:$F$30,RAB!$C$14:$C$30,C1199)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SUMIFS(RAB!$F$14:$F$30,RAB!$C$14:$C$30,C1200)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SUMIFS(RAB!$F$14:$F$30,RAB!$C$14:$C$30,C1201)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SUMIFS(RAB!$F$14:$F$30,RAB!$C$14:$C$30,C1202)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SUMIFS(RAB!$F$14:$F$30,RAB!$C$14:$C$30,C1203)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SUMIFS(RAB!$F$14:$F$30,RAB!$C$14:$C$30,C1204)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SUMIFS(RAB!$F$14:$F$30,RAB!$C$14:$C$30,C1205)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SUMIFS(RAB!$F$14:$F$30,RAB!$C$14:$C$30,C1206)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SUMIFS(RAB!$F$14:$F$30,RAB!$C$14:$C$30,C1207)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SUMIFS(RAB!$F$14:$F$30,RAB!$C$14:$C$30,C1208)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SUMIFS(RAB!$F$14:$F$30,RAB!$C$14:$C$30,C1209)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SUMIFS(RAB!$F$14:$F$30,RAB!$C$14:$C$30,C1210)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SUMIFS(RAB!$F$14:$F$30,RAB!$C$14:$C$30,C1211)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SUMIFS(RAB!$F$14:$F$30,RAB!$C$14:$C$30,C1212)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SUMIFS(RAB!$F$14:$F$30,RAB!$C$14:$C$30,C1213)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SUMIFS(RAB!$F$14:$F$30,RAB!$C$14:$C$30,C1214)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SUMIFS(RAB!$F$14:$F$30,RAB!$C$14:$C$30,C1215)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SUMIFS(RAB!$F$14:$F$30,RAB!$C$14:$C$30,C1216)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SUMIFS(RAB!$F$14:$F$30,RAB!$C$14:$C$30,C1217)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SUMIFS(RAB!$F$14:$F$30,RAB!$C$14:$C$30,C1218)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SUMIFS(RAB!$F$14:$F$30,RAB!$C$14:$C$30,C1219)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SUMIFS(RAB!$F$14:$F$30,RAB!$C$14:$C$30,C1220)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SUMIFS(RAB!$F$14:$F$30,RAB!$C$14:$C$30,C1221)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SUMIFS(RAB!$F$14:$F$30,RAB!$C$14:$C$30,C1222)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SUMIFS(RAB!$F$14:$F$30,RAB!$C$14:$C$30,C1223)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SUMIFS(RAB!$F$14:$F$30,RAB!$C$14:$C$30,C1224)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SUMIFS(RAB!$F$14:$F$30,RAB!$C$14:$C$30,C1225)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SUMIFS(RAB!$F$14:$F$30,RAB!$C$14:$C$30,C1226)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SUMIFS(RAB!$F$14:$F$30,RAB!$C$14:$C$30,C1227)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SUMIFS(RAB!$F$14:$F$30,RAB!$C$14:$C$30,C1228)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SUMIFS(RAB!$F$14:$F$30,RAB!$C$14:$C$30,C1229)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SUMIFS(RAB!$F$14:$F$30,RAB!$C$14:$C$30,C1230)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SUMIFS(RAB!$F$14:$F$30,RAB!$C$14:$C$30,C1231)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SUMIFS(RAB!$F$14:$F$30,RAB!$C$14:$C$30,C1232)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SUMIFS(RAB!$F$14:$F$30,RAB!$C$14:$C$30,C1233)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SUMIFS(RAB!$F$14:$F$30,RAB!$C$14:$C$30,C1234)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SUMIFS(RAB!$F$14:$F$30,RAB!$C$14:$C$30,C1235)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SUMIFS(RAB!$F$14:$F$30,RAB!$C$14:$C$30,C1236)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SUMIFS(RAB!$F$14:$F$30,RAB!$C$14:$C$30,C1237)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SUMIFS(RAB!$F$14:$F$30,RAB!$C$14:$C$30,C1238)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SUMIFS(RAB!$F$14:$F$30,RAB!$C$14:$C$30,C1239)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SUMIFS(RAB!$F$14:$F$30,RAB!$C$14:$C$30,C1240)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SUMIFS(RAB!$F$14:$F$30,RAB!$C$14:$C$30,C1241)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SUMIFS(RAB!$F$14:$F$30,RAB!$C$14:$C$30,C1242)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SUMIFS(RAB!$F$14:$F$30,RAB!$C$14:$C$30,C1243)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SUMIFS(RAB!$F$14:$F$30,RAB!$C$14:$C$30,C1244)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SUMIFS(RAB!$F$14:$F$30,RAB!$C$14:$C$30,C1245)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SUMIFS(RAB!$F$14:$F$30,RAB!$C$14:$C$30,C1246)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SUMIFS(RAB!$F$14:$F$30,RAB!$C$14:$C$30,C1247)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SUMIFS(RAB!$F$14:$F$30,RAB!$C$14:$C$30,C1248)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SUMIFS(RAB!$F$14:$F$30,RAB!$C$14:$C$30,C1249)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SUMIFS(RAB!$F$14:$F$30,RAB!$C$14:$C$30,C1250)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SUMIFS(RAB!$F$14:$F$30,RAB!$C$14:$C$30,C1251)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SUMIFS(RAB!$F$14:$F$30,RAB!$C$14:$C$30,C1252)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SUMIFS(RAB!$F$14:$F$30,RAB!$C$14:$C$30,C1253)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SUMIFS(RAB!$F$14:$F$30,RAB!$C$14:$C$30,C1254)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SUMIFS(RAB!$F$14:$F$30,RAB!$C$14:$C$30,C1255)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SUMIFS(RAB!$F$14:$F$30,RAB!$C$14:$C$30,C1256)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SUMIFS(RAB!$F$14:$F$30,RAB!$C$14:$C$30,C1257)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SUMIFS(RAB!$F$14:$F$30,RAB!$C$14:$C$30,C1258)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SUMIFS(RAB!$F$14:$F$30,RAB!$C$14:$C$30,C1259)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SUMIFS(RAB!$F$14:$F$30,RAB!$C$14:$C$30,C1260)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SUMIFS(RAB!$F$14:$F$30,RAB!$C$14:$C$30,C1261)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SUMIFS(RAB!$F$14:$F$30,RAB!$C$14:$C$30,C1262)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SUMIFS(RAB!$F$14:$F$30,RAB!$C$14:$C$30,C1263)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SUMIFS(RAB!$F$14:$F$30,RAB!$C$14:$C$30,C1264)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SUMIFS(RAB!$F$14:$F$30,RAB!$C$14:$C$30,C1265)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SUMIFS(RAB!$F$14:$F$30,RAB!$C$14:$C$30,C1266)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SUMIFS(RAB!$F$14:$F$30,RAB!$C$14:$C$30,C1267)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SUMIFS(RAB!$F$14:$F$30,RAB!$C$14:$C$30,C1268)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SUMIFS(RAB!$F$14:$F$30,RAB!$C$14:$C$30,C1269)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SUMIFS(RAB!$F$14:$F$30,RAB!$C$14:$C$30,C1270)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SUMIFS(RAB!$F$14:$F$30,RAB!$C$14:$C$30,C1271)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SUMIFS(RAB!$F$14:$F$30,RAB!$C$14:$C$30,C1272)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SUMIFS(RAB!$F$14:$F$30,RAB!$C$14:$C$30,C1273)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SUMIFS(RAB!$F$14:$F$30,RAB!$C$14:$C$30,C1274)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SUMIFS(RAB!$F$14:$F$30,RAB!$C$14:$C$30,C1275)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SUMIFS(RAB!$F$14:$F$30,RAB!$C$14:$C$30,C1276)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SUMIFS(RAB!$F$14:$F$30,RAB!$C$14:$C$30,C1277)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SUMIFS(RAB!$F$14:$F$30,RAB!$C$14:$C$30,C1278)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SUMIFS(RAB!$F$14:$F$30,RAB!$C$14:$C$30,C1279)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SUMIFS(RAB!$F$14:$F$30,RAB!$C$14:$C$30,C1280)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SUMIFS(RAB!$F$14:$F$30,RAB!$C$14:$C$30,C1281)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SUMIFS(RAB!$F$14:$F$30,RAB!$C$14:$C$30,C1282)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SUMIFS(RAB!$F$14:$F$30,RAB!$C$14:$C$30,C1283)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SUMIFS(RAB!$F$14:$F$30,RAB!$C$14:$C$30,C1284)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SUMIFS(RAB!$F$14:$F$30,RAB!$C$14:$C$30,C1285)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SUMIFS(RAB!$F$14:$F$30,RAB!$C$14:$C$30,C1286)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SUMIFS(RAB!$F$14:$F$30,RAB!$C$14:$C$30,C1287)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SUMIFS(RAB!$F$14:$F$30,RAB!$C$14:$C$30,C1288)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SUMIFS(RAB!$F$14:$F$30,RAB!$C$14:$C$30,C1289)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SUMIFS(RAB!$F$14:$F$30,RAB!$C$14:$C$30,C1290)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SUMIFS(RAB!$F$14:$F$30,RAB!$C$14:$C$30,C1291)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SUMIFS(RAB!$F$14:$F$30,RAB!$C$14:$C$30,C1292)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SUMIFS(RAB!$F$14:$F$30,RAB!$C$14:$C$30,C1293)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SUMIFS(RAB!$F$14:$F$30,RAB!$C$14:$C$30,C1294)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SUMIFS(RAB!$F$14:$F$30,RAB!$C$14:$C$30,C1295)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SUMIFS(RAB!$F$14:$F$30,RAB!$C$14:$C$30,C1296)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SUMIFS(RAB!$F$14:$F$30,RAB!$C$14:$C$30,C1297)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SUMIFS(RAB!$F$14:$F$30,RAB!$C$14:$C$30,C1298)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SUMIFS(RAB!$F$14:$F$30,RAB!$C$14:$C$30,C1299)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SUMIFS(RAB!$F$14:$F$30,RAB!$C$14:$C$30,C1300)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SUMIFS(RAB!$F$14:$F$30,RAB!$C$14:$C$30,C1301)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SUMIFS(RAB!$F$14:$F$30,RAB!$C$14:$C$30,C1302)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SUMIFS(RAB!$F$14:$F$30,RAB!$C$14:$C$30,C1303)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SUMIFS(RAB!$F$14:$F$30,RAB!$C$14:$C$30,C1304)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SUMIFS(RAB!$F$14:$F$30,RAB!$C$14:$C$30,C1305)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SUMIFS(RAB!$F$14:$F$30,RAB!$C$14:$C$30,C1306)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SUMIFS(RAB!$F$14:$F$30,RAB!$C$14:$C$30,C1307)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SUMIFS(RAB!$F$14:$F$30,RAB!$C$14:$C$30,C1308)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SUMIFS(RAB!$F$14:$F$30,RAB!$C$14:$C$30,C1309)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SUMIFS(RAB!$F$14:$F$30,RAB!$C$14:$C$30,C1310)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SUMIFS(RAB!$F$14:$F$30,RAB!$C$14:$C$30,C1311)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SUMIFS(RAB!$F$14:$F$30,RAB!$C$14:$C$30,C1312)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SUMIFS(RAB!$F$14:$F$30,RAB!$C$14:$C$30,C1313)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SUMIFS(RAB!$F$14:$F$30,RAB!$C$14:$C$30,C1314)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SUMIFS(RAB!$F$14:$F$30,RAB!$C$14:$C$30,C1315)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SUMIFS(RAB!$F$14:$F$30,RAB!$C$14:$C$30,C1316)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SUMIFS(RAB!$F$14:$F$30,RAB!$C$14:$C$30,C1317)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SUMIFS(RAB!$F$14:$F$30,RAB!$C$14:$C$30,C1318)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SUMIFS(RAB!$F$14:$F$30,RAB!$C$14:$C$30,C1319)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SUMIFS(RAB!$F$14:$F$30,RAB!$C$14:$C$30,C1320)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1127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4" t="str">
        <f>RAB!G6</f>
        <v>PUSKESMAS GABUS 1</v>
      </c>
      <c r="H6" s="524"/>
      <c r="I6" s="524"/>
      <c r="J6" s="524"/>
      <c r="K6" s="52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SULURSARI GABUS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42</v>
      </c>
      <c r="E11" s="537" t="s">
        <v>43</v>
      </c>
      <c r="F11" s="537" t="s">
        <v>2</v>
      </c>
      <c r="G11" s="538" t="s">
        <v>41</v>
      </c>
      <c r="H11" s="537" t="s">
        <v>3</v>
      </c>
      <c r="I11" s="537"/>
      <c r="J11" s="537"/>
      <c r="K11" s="541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27"/>
      <c r="E12" s="527"/>
      <c r="F12" s="527"/>
      <c r="G12" s="539"/>
      <c r="H12" s="529" t="s">
        <v>46</v>
      </c>
      <c r="I12" s="529" t="s">
        <v>5</v>
      </c>
      <c r="J12" s="527" t="s">
        <v>47</v>
      </c>
      <c r="K12" s="52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27"/>
      <c r="E13" s="527"/>
      <c r="F13" s="527"/>
      <c r="G13" s="540"/>
      <c r="H13" s="530"/>
      <c r="I13" s="530"/>
      <c r="J13" s="527"/>
      <c r="K13" s="52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5" t="s">
        <v>1008</v>
      </c>
      <c r="D38" s="525"/>
      <c r="E38" s="525"/>
      <c r="F38" s="525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26" t="s">
        <v>462</v>
      </c>
      <c r="D39" s="526"/>
      <c r="E39" s="526"/>
      <c r="F39" s="526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15" t="s">
        <v>463</v>
      </c>
      <c r="D40" s="515"/>
      <c r="E40" s="515"/>
      <c r="F40" s="515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18" t="e">
        <f ca="1">"Terbilang : ( "&amp;L42&amp;" Rupiah )"</f>
        <v>#NAME?</v>
      </c>
      <c r="C41" s="519"/>
      <c r="D41" s="519"/>
      <c r="E41" s="519"/>
      <c r="F41" s="519"/>
      <c r="G41" s="519"/>
      <c r="H41" s="519"/>
      <c r="I41" s="519"/>
      <c r="J41" s="519"/>
      <c r="K41" s="520"/>
      <c r="L41" s="44"/>
      <c r="R41" s="58"/>
      <c r="S41" s="58"/>
      <c r="T41" s="58"/>
    </row>
    <row r="42" spans="1:20" s="36" customFormat="1">
      <c r="A42" s="30"/>
      <c r="B42" s="521"/>
      <c r="C42" s="522"/>
      <c r="D42" s="522"/>
      <c r="E42" s="522"/>
      <c r="F42" s="522"/>
      <c r="G42" s="522"/>
      <c r="H42" s="522"/>
      <c r="I42" s="522"/>
      <c r="J42" s="522"/>
      <c r="K42" s="523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6"/>
      <c r="I45" s="516"/>
      <c r="J45" s="517"/>
      <c r="K45" s="51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6"/>
      <c r="I46" s="516"/>
      <c r="J46" s="517"/>
      <c r="K46" s="51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6"/>
      <c r="I47" s="516"/>
      <c r="J47" s="517"/>
      <c r="K47" s="51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6"/>
      <c r="I52" s="516"/>
      <c r="J52" s="517"/>
      <c r="K52" s="51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SUMIFS(RAB!$F$14:$F$30,RAB!$C$14:$C$30,'REKAP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SUMIFS(RAB!$F$14:$F$30,RAB!$C$14:$C$30,'REKAP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SUMIFS(RAB!$F$14:$F$30,RAB!$C$14:$C$30,'REKAP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SUMIFS(RAB!$F$14:$F$30,RAB!$C$14:$C$30,'REKAP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SUMIFS(RAB!$F$14:$F$30,RAB!$C$14:$C$30,'REKAP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SUMIFS(RAB!$F$14:$F$30,RAB!$C$14:$C$30,'REKAP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SUMIFS(RAB!$F$14:$F$30,RAB!$C$14:$C$30,'REKAP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SUMIFS(RAB!$F$14:$F$30,RAB!$C$14:$C$30,'REKAP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SUMIFS(RAB!$F$14:$F$30,RAB!$C$14:$C$30,'REKAP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SUMIFS(RAB!$F$14:$F$30,RAB!$C$14:$C$30,'REKAP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SUMIFS(RAB!$F$14:$F$30,RAB!$C$14:$C$30,'REKAP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SUMIFS(RAB!$F$14:$F$30,RAB!$C$14:$C$30,'REKAP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SUMIFS(RAB!$F$14:$F$30,RAB!$C$14:$C$30,'REKAP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SUMIFS(RAB!$F$14:$F$30,RAB!$C$14:$C$30,'REKAP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SUMIFS(RAB!$F$14:$F$30,RAB!$C$14:$C$30,'REKAP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SUMIFS(RAB!$F$14:$F$30,RAB!$C$14:$C$30,'REKAP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SUMIFS(RAB!$F$14:$F$30,RAB!$C$14:$C$30,'REKAP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SUMIFS(RAB!$F$14:$F$30,RAB!$C$14:$C$30,'REKAP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SUMIFS(RAB!$F$14:$F$30,RAB!$C$14:$C$30,'REKAP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SUMIFS(RAB!$F$14:$F$30,RAB!$C$14:$C$30,'REKAP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1034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4" t="str">
        <f>RAB!G6</f>
        <v>PUSKESMAS GABUS 1</v>
      </c>
      <c r="H6" s="524"/>
      <c r="I6" s="524"/>
      <c r="J6" s="524"/>
      <c r="K6" s="52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SULURSARI GABUS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42</v>
      </c>
      <c r="E11" s="537" t="s">
        <v>43</v>
      </c>
      <c r="F11" s="537" t="s">
        <v>2</v>
      </c>
      <c r="G11" s="538" t="s">
        <v>41</v>
      </c>
      <c r="H11" s="537" t="s">
        <v>3</v>
      </c>
      <c r="I11" s="537"/>
      <c r="J11" s="537"/>
      <c r="K11" s="541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27"/>
      <c r="E12" s="527"/>
      <c r="F12" s="527"/>
      <c r="G12" s="539"/>
      <c r="H12" s="529" t="s">
        <v>46</v>
      </c>
      <c r="I12" s="529" t="s">
        <v>5</v>
      </c>
      <c r="J12" s="527" t="s">
        <v>47</v>
      </c>
      <c r="K12" s="52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27"/>
      <c r="E13" s="527"/>
      <c r="F13" s="527"/>
      <c r="G13" s="540"/>
      <c r="H13" s="530"/>
      <c r="I13" s="530"/>
      <c r="J13" s="527"/>
      <c r="K13" s="52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33 kVA MCCB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4"/>
        <v/>
      </c>
      <c r="C18" s="109" t="str">
        <f t="shared" ca="1" si="5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6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5" t="s">
        <v>1008</v>
      </c>
      <c r="D168" s="525"/>
      <c r="E168" s="525"/>
      <c r="F168" s="525"/>
      <c r="G168" s="77" t="s">
        <v>9</v>
      </c>
      <c r="H168" s="55">
        <f ca="1">SUM(H14:H167)</f>
        <v>4992300</v>
      </c>
      <c r="I168" s="55">
        <f ca="1">SUM(I14:I167)</f>
        <v>0</v>
      </c>
      <c r="J168" s="55">
        <f ca="1">SUM(J14:J167)</f>
        <v>0</v>
      </c>
      <c r="K168" s="55">
        <f ca="1">SUM(K14:K167)</f>
        <v>4992300</v>
      </c>
      <c r="L168" s="44"/>
      <c r="R168" s="99"/>
      <c r="S168" s="99"/>
      <c r="T168" s="99"/>
    </row>
    <row r="169" spans="1:20" s="36" customFormat="1">
      <c r="A169" s="30"/>
      <c r="B169" s="56"/>
      <c r="C169" s="526" t="s">
        <v>462</v>
      </c>
      <c r="D169" s="526"/>
      <c r="E169" s="526"/>
      <c r="F169" s="526"/>
      <c r="G169" s="59" t="s">
        <v>9</v>
      </c>
      <c r="H169" s="60">
        <f ca="1">H168*0.1</f>
        <v>499230</v>
      </c>
      <c r="I169" s="60">
        <f ca="1">I168*0.1</f>
        <v>0</v>
      </c>
      <c r="J169" s="60">
        <f ca="1">J168*0.1</f>
        <v>0</v>
      </c>
      <c r="K169" s="60">
        <f ca="1">K168*0.1</f>
        <v>499230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15" t="s">
        <v>463</v>
      </c>
      <c r="D170" s="515"/>
      <c r="E170" s="515"/>
      <c r="F170" s="515"/>
      <c r="G170" s="61" t="s">
        <v>9</v>
      </c>
      <c r="H170" s="78">
        <f ca="1">SUM(H168:H169)</f>
        <v>5491530</v>
      </c>
      <c r="I170" s="78">
        <f ca="1">SUM(I168:I169)</f>
        <v>0</v>
      </c>
      <c r="J170" s="61">
        <f ca="1">SUM(J168:J169)</f>
        <v>0</v>
      </c>
      <c r="K170" s="61">
        <f ca="1">SUM(K168:K169)</f>
        <v>5491530</v>
      </c>
      <c r="L170" s="44"/>
      <c r="R170" s="99"/>
      <c r="S170" s="99"/>
      <c r="T170" s="99"/>
    </row>
    <row r="171" spans="1:20" s="36" customFormat="1">
      <c r="A171" s="30"/>
      <c r="B171" s="518" t="e">
        <f ca="1">"Terbilang : ( "&amp;L172&amp;" Rupiah )"</f>
        <v>#NAME?</v>
      </c>
      <c r="C171" s="519"/>
      <c r="D171" s="519"/>
      <c r="E171" s="519"/>
      <c r="F171" s="519"/>
      <c r="G171" s="519"/>
      <c r="H171" s="519"/>
      <c r="I171" s="519"/>
      <c r="J171" s="519"/>
      <c r="K171" s="520"/>
      <c r="L171" s="44"/>
      <c r="R171" s="58"/>
      <c r="S171" s="58"/>
      <c r="T171" s="58"/>
    </row>
    <row r="172" spans="1:20" s="36" customFormat="1">
      <c r="A172" s="30"/>
      <c r="B172" s="521"/>
      <c r="C172" s="522"/>
      <c r="D172" s="522"/>
      <c r="E172" s="522"/>
      <c r="F172" s="522"/>
      <c r="G172" s="522"/>
      <c r="H172" s="522"/>
      <c r="I172" s="522"/>
      <c r="J172" s="522"/>
      <c r="K172" s="523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6"/>
      <c r="I175" s="516"/>
      <c r="J175" s="517"/>
      <c r="K175" s="51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6"/>
      <c r="I176" s="516"/>
      <c r="J176" s="517"/>
      <c r="K176" s="51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6"/>
      <c r="I177" s="516"/>
      <c r="J177" s="517"/>
      <c r="K177" s="51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6"/>
      <c r="I182" s="516"/>
      <c r="J182" s="517"/>
      <c r="K182" s="51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SUMIFS(RAB!$F$14:$F$30,RAB!$C$14:$C$30,C224)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SUMIFS(RAB!$F$14:$F$30,RAB!$C$14:$C$30,C225)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SUMIFS(RAB!$F$14:$F$30,RAB!$C$14:$C$30,C226)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SUMIFS(RAB!$F$14:$F$30,RAB!$C$14:$C$30,C227)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SUMIFS(RAB!$F$14:$F$30,RAB!$C$14:$C$30,C228)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SUMIFS(RAB!$F$14:$F$30,RAB!$C$14:$C$30,C229)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SUMIFS(RAB!$F$14:$F$30,RAB!$C$14:$C$30,C230)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SUMIFS(RAB!$F$14:$F$30,RAB!$C$14:$C$30,C231)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SUMIFS(RAB!$F$14:$F$30,RAB!$C$14:$C$30,C232)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SUMIFS(RAB!$F$14:$F$30,RAB!$C$14:$C$30,C233)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SUMIFS(RAB!$F$14:$F$30,RAB!$C$14:$C$30,C234)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SUMIFS(RAB!$F$14:$F$30,RAB!$C$14:$C$30,C235)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SUMIFS(RAB!$F$14:$F$30,RAB!$C$14:$C$30,C236)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SUMIFS(RAB!$F$14:$F$30,RAB!$C$14:$C$30,C237)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SUMIFS(RAB!$F$14:$F$30,RAB!$C$14:$C$30,C238)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SUMIFS(RAB!$F$14:$F$30,RAB!$C$14:$C$30,C239)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SUMIFS(RAB!$F$14:$F$30,RAB!$C$14:$C$30,C240)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SUMIFS(RAB!$F$14:$F$30,RAB!$C$14:$C$30,C241)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SUMIFS(RAB!$F$14:$F$30,RAB!$C$14:$C$30,C242)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SUMIFS(RAB!$F$14:$F$30,RAB!$C$14:$C$30,C243)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SUMIFS(RAB!$F$14:$F$30,RAB!$C$14:$C$30,C244)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SUMIFS(RAB!$F$14:$F$30,RAB!$C$14:$C$30,C245)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SUMIFS(RAB!$F$14:$F$30,RAB!$C$14:$C$30,C246)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SUMIFS(RAB!$F$14:$F$30,RAB!$C$14:$C$30,C247)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SUMIFS(RAB!$F$14:$F$30,RAB!$C$14:$C$30,C248)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SUMIFS(RAB!$F$14:$F$30,RAB!$C$14:$C$30,C249)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SUMIFS(RAB!$F$14:$F$30,RAB!$C$14:$C$30,C250)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SUMIFS(RAB!$F$14:$F$30,RAB!$C$14:$C$30,C251)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SUMIFS(RAB!$F$14:$F$30,RAB!$C$14:$C$30,C252)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SUMIFS(RAB!$F$14:$F$30,RAB!$C$14:$C$30,C253)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SUMIFS(RAB!$F$14:$F$30,RAB!$C$14:$C$30,C254)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SUMIFS(RAB!$F$14:$F$30,RAB!$C$14:$C$30,C255)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SUMIFS(RAB!$F$14:$F$30,RAB!$C$14:$C$30,C256)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SUMIFS(RAB!$F$14:$F$30,RAB!$C$14:$C$30,C257)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SUMIFS(RAB!$F$14:$F$30,RAB!$C$14:$C$30,C258)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SUMIFS(RAB!$F$14:$F$30,RAB!$C$14:$C$30,C259)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SUMIFS(RAB!$F$14:$F$30,RAB!$C$14:$C$30,C260)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SUMIFS(RAB!$F$14:$F$30,RAB!$C$14:$C$30,C261)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SUMIFS(RAB!$F$14:$F$30,RAB!$C$14:$C$30,C262)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SUMIFS(RAB!$F$14:$F$30,RAB!$C$14:$C$30,C263)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SUMIFS(RAB!$F$14:$F$30,RAB!$C$14:$C$30,C264)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SUMIFS(RAB!$F$14:$F$30,RAB!$C$14:$C$30,C265)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SUMIFS(RAB!$F$14:$F$30,RAB!$C$14:$C$30,C266)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SUMIFS(RAB!$F$14:$F$30,RAB!$C$14:$C$30,C267)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SUMIFS(RAB!$F$14:$F$30,RAB!$C$14:$C$30,C268)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SUMIFS(RAB!$F$14:$F$30,RAB!$C$14:$C$30,C269)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SUMIFS(RAB!$F$14:$F$30,RAB!$C$14:$C$30,C270)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SUMIFS(RAB!$F$14:$F$30,RAB!$C$14:$C$30,C271)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SUMIFS(RAB!$F$14:$F$30,RAB!$C$14:$C$30,C272)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SUMIFS(RAB!$F$14:$F$30,RAB!$C$14:$C$30,C273)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SUMIFS(RAB!$F$14:$F$30,RAB!$C$14:$C$30,C274)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SUMIFS(RAB!$F$14:$F$30,RAB!$C$14:$C$30,C275)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SUMIFS(RAB!$F$14:$F$30,RAB!$C$14:$C$30,C276)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SUMIFS(RAB!$F$14:$F$30,RAB!$C$14:$C$30,C277)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SUMIFS(RAB!$F$14:$F$30,RAB!$C$14:$C$30,C278)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SUMIFS(RAB!$F$14:$F$30,RAB!$C$14:$C$30,C279)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SUMIFS(RAB!$F$14:$F$30,RAB!$C$14:$C$30,C280)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SUMIFS(RAB!$F$14:$F$30,RAB!$C$14:$C$30,C281)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SUMIFS(RAB!$F$14:$F$30,RAB!$C$14:$C$30,C282)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SUMIFS(RAB!$F$14:$F$30,RAB!$C$14:$C$30,C283)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SUMIFS(RAB!$F$14:$F$30,RAB!$C$14:$C$30,C284)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SUMIFS(RAB!$F$14:$F$30,RAB!$C$14:$C$30,C285)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SUMIFS(RAB!$F$14:$F$30,RAB!$C$14:$C$30,C286)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SUMIFS(RAB!$F$14:$F$30,RAB!$C$14:$C$30,C287)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SUMIFS(RAB!$F$14:$F$30,RAB!$C$14:$C$30,C288)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SUMIFS(RAB!$F$14:$F$30,RAB!$C$14:$C$30,C289)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SUMIFS(RAB!$F$14:$F$30,RAB!$C$14:$C$30,C290)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SUMIFS(RAB!$F$14:$F$30,RAB!$C$14:$C$30,C291)</f>
        <v>1</v>
      </c>
      <c r="E291" s="24">
        <f t="shared" ca="1" si="22"/>
        <v>1</v>
      </c>
      <c r="F291" s="24">
        <f ca="1">IF(D291=0,0,SUM($E$223:E291))</f>
        <v>2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SUMIFS(RAB!$F$14:$F$30,RAB!$C$14:$C$30,C292)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SUMIFS(RAB!$F$14:$F$30,RAB!$C$14:$C$30,C293)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SUMIFS(RAB!$F$14:$F$30,RAB!$C$14:$C$30,C294)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SUMIFS(RAB!$F$14:$F$30,RAB!$C$14:$C$30,C295)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SUMIFS(RAB!$F$14:$F$30,RAB!$C$14:$C$30,C296)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SUMIFS(RAB!$F$14:$F$30,RAB!$C$14:$C$30,C297)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SUMIFS(RAB!$F$14:$F$30,RAB!$C$14:$C$30,C298)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SUMIFS(RAB!$F$14:$F$30,RAB!$C$14:$C$30,C299)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SUMIFS(RAB!$F$14:$F$30,RAB!$C$14:$C$30,C300)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SUMIFS(RAB!$F$14:$F$30,RAB!$C$14:$C$30,C301)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SUMIFS(RAB!$F$14:$F$30,RAB!$C$14:$C$30,C302)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SUMIFS(RAB!$F$14:$F$30,RAB!$C$14:$C$30,C303)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SUMIFS(RAB!$F$14:$F$30,RAB!$C$14:$C$30,C304)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SUMIFS(RAB!$F$14:$F$30,RAB!$C$14:$C$30,C305)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SUMIFS(RAB!$F$14:$F$30,RAB!$C$14:$C$30,C306)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SUMIFS(RAB!$F$14:$F$30,RAB!$C$14:$C$30,C307)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SUMIFS(RAB!$F$14:$F$30,RAB!$C$14:$C$30,C308)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SUMIFS(RAB!$F$14:$F$30,RAB!$C$14:$C$30,C309)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SUMIFS(RAB!$F$14:$F$30,RAB!$C$14:$C$30,C310)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SUMIFS(RAB!$F$14:$F$30,RAB!$C$14:$C$30,C311)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SUMIFS(RAB!$F$14:$F$30,RAB!$C$14:$C$30,C312)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SUMIFS(RAB!$F$14:$F$30,RAB!$C$14:$C$30,C313)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SUMIFS(RAB!$F$14:$F$30,RAB!$C$14:$C$30,C314)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SUMIFS(RAB!$F$14:$F$30,RAB!$C$14:$C$30,C315)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SUMIFS(RAB!$F$14:$F$30,RAB!$C$14:$C$30,C316)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SUMIFS(RAB!$F$14:$F$30,RAB!$C$14:$C$30,C317)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SUMIFS(RAB!$F$14:$F$30,RAB!$C$14:$C$30,C318)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SUMIFS(RAB!$F$14:$F$30,RAB!$C$14:$C$30,C319)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SUMIFS(RAB!$F$14:$F$30,RAB!$C$14:$C$30,C320)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SUMIFS(RAB!$F$14:$F$30,RAB!$C$14:$C$30,C321)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SUMIFS(RAB!$F$14:$F$30,RAB!$C$14:$C$30,C322)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SUMIFS(RAB!$F$14:$F$30,RAB!$C$14:$C$30,C323)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SUMIFS(RAB!$F$14:$F$30,RAB!$C$14:$C$30,C324)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SUMIFS(RAB!$F$14:$F$30,RAB!$C$14:$C$30,C325)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SUMIFS(RAB!$F$14:$F$30,RAB!$C$14:$C$30,C326)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SUMIFS(RAB!$F$14:$F$30,RAB!$C$14:$C$30,C327)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SUMIFS(RAB!$F$14:$F$30,RAB!$C$14:$C$30,C328)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SUMIFS(RAB!$F$14:$F$30,RAB!$C$14:$C$30,C329)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SUMIFS(RAB!$F$14:$F$30,RAB!$C$14:$C$30,C330)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SUMIFS(RAB!$F$14:$F$30,RAB!$C$14:$C$30,C331)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SUMIFS(RAB!$F$14:$F$30,RAB!$C$14:$C$30,C332)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SUMIFS(RAB!$F$14:$F$30,RAB!$C$14:$C$30,C333)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SUMIFS(RAB!$F$14:$F$30,RAB!$C$14:$C$30,C334)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SUMIFS(RAB!$F$14:$F$30,RAB!$C$14:$C$30,C335)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SUMIFS(RAB!$F$14:$F$30,RAB!$C$14:$C$30,C336)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SUMIFS(RAB!$F$14:$F$30,RAB!$C$14:$C$30,C337)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SUMIFS(RAB!$F$14:$F$30,RAB!$C$14:$C$30,C338)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SUMIFS(RAB!$F$14:$F$30,RAB!$C$14:$C$30,C339)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SUMIFS(RAB!$F$14:$F$30,RAB!$C$14:$C$30,C340)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SUMIFS(RAB!$F$14:$F$30,RAB!$C$14:$C$30,C341)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SUMIFS(RAB!$F$14:$F$30,RAB!$C$14:$C$30,C342)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SUMIFS(RAB!$F$14:$F$30,RAB!$C$14:$C$30,C343)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SUMIFS(RAB!$F$14:$F$30,RAB!$C$14:$C$30,C344)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SUMIFS(RAB!$F$14:$F$30,RAB!$C$14:$C$30,C345)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SUMIFS(RAB!$F$14:$F$30,RAB!$C$14:$C$30,C346)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SUMIFS(RAB!$F$14:$F$30,RAB!$C$14:$C$30,C347)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SUMIFS(RAB!$F$14:$F$30,RAB!$C$14:$C$30,C348)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SUMIFS(RAB!$F$14:$F$30,RAB!$C$14:$C$30,C349)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SUMIFS(RAB!$F$14:$F$30,RAB!$C$14:$C$30,C350)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SUMIFS(RAB!$F$14:$F$30,RAB!$C$14:$C$30,C351)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SUMIFS(RAB!$F$14:$F$30,RAB!$C$14:$C$30,C352)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SUMIFS(RAB!$F$14:$F$30,RAB!$C$14:$C$30,C353)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SUMIFS(RAB!$F$14:$F$30,RAB!$C$14:$C$30,C354)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SUMIFS(RAB!$F$14:$F$30,RAB!$C$14:$C$30,C355)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SUMIFS(RAB!$F$14:$F$30,RAB!$C$14:$C$30,C356)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SUMIFS(RAB!$F$14:$F$30,RAB!$C$14:$C$30,C357)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SUMIFS(RAB!$F$14:$F$30,RAB!$C$14:$C$30,C358)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SUMIFS(RAB!$F$14:$F$30,RAB!$C$14:$C$30,C359)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SUMIFS(RAB!$F$14:$F$30,RAB!$C$14:$C$30,C360)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SUMIFS(RAB!$F$14:$F$30,RAB!$C$14:$C$30,C361)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SUMIFS(RAB!$F$14:$F$30,RAB!$C$14:$C$30,C362)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SUMIFS(RAB!$F$14:$F$30,RAB!$C$14:$C$30,C363)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SUMIFS(RAB!$F$14:$F$30,RAB!$C$14:$C$30,C364)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SUMIFS(RAB!$F$14:$F$30,RAB!$C$14:$C$30,C365)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SUMIFS(RAB!$F$14:$F$30,RAB!$C$14:$C$30,C366)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SUMIFS(RAB!$F$14:$F$30,RAB!$C$14:$C$30,C367)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SUMIFS(RAB!$F$14:$F$30,RAB!$C$14:$C$30,C368)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SUMIFS(RAB!$F$14:$F$30,RAB!$C$14:$C$30,C369)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SUMIFS(RAB!$F$14:$F$30,RAB!$C$14:$C$30,C370)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SUMIFS(RAB!$F$14:$F$30,RAB!$C$14:$C$30,C371)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SUMIFS(RAB!$F$14:$F$30,RAB!$C$14:$C$30,C372)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SUMIFS(RAB!$F$14:$F$30,RAB!$C$14:$C$30,C373)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03" activePane="bottomRight" state="frozen"/>
      <selection activeCell="D209" sqref="D209"/>
      <selection pane="topRight" activeCell="D209" sqref="D209"/>
      <selection pane="bottomLeft" activeCell="D209" sqref="D209"/>
      <selection pane="bottomRight" activeCell="C204" sqref="C20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3" t="s">
        <v>41</v>
      </c>
      <c r="C2" s="54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4" t="s">
        <v>23</v>
      </c>
      <c r="C4" s="545" t="s">
        <v>1012</v>
      </c>
      <c r="D4" s="545" t="s">
        <v>42</v>
      </c>
      <c r="E4" s="544" t="s">
        <v>43</v>
      </c>
      <c r="F4" s="108" t="s">
        <v>1605</v>
      </c>
      <c r="G4" s="108" t="s">
        <v>1604</v>
      </c>
      <c r="H4" s="54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4"/>
      <c r="C5" s="545"/>
      <c r="D5" s="545"/>
      <c r="E5" s="544"/>
      <c r="F5" s="93"/>
      <c r="G5" s="93"/>
      <c r="H5" s="542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9" priority="138" operator="equal">
      <formula>0</formula>
    </cfRule>
  </conditionalFormatting>
  <conditionalFormatting sqref="B8:C135">
    <cfRule type="cellIs" dxfId="28" priority="51" operator="equal">
      <formula>0</formula>
    </cfRule>
  </conditionalFormatting>
  <conditionalFormatting sqref="B150:G1493">
    <cfRule type="cellIs" dxfId="27" priority="1" operator="equal">
      <formula>0</formula>
    </cfRule>
  </conditionalFormatting>
  <conditionalFormatting sqref="C143:G149">
    <cfRule type="cellIs" dxfId="26" priority="5" operator="equal">
      <formula>0</formula>
    </cfRule>
  </conditionalFormatting>
  <conditionalFormatting sqref="D9:G142">
    <cfRule type="cellIs" dxfId="25" priority="11" operator="equal">
      <formula>0</formula>
    </cfRule>
  </conditionalFormatting>
  <conditionalFormatting sqref="D1:IV5 A1:C7 D6:K6 H1455:IV1457 H1458:XFD1485 H1486:H1493 I1486:XFD1494 A1494:H1494 A1495:XFD65536">
    <cfRule type="cellIs" dxfId="24" priority="163" operator="equal">
      <formula>0</formula>
    </cfRule>
  </conditionalFormatting>
  <conditionalFormatting sqref="D7:IV8 C136:C142 B136:B149">
    <cfRule type="cellIs" dxfId="23" priority="62" operator="equal">
      <formula>0</formula>
    </cfRule>
  </conditionalFormatting>
  <conditionalFormatting sqref="H9:H1418">
    <cfRule type="cellIs" dxfId="22" priority="129" operator="equal">
      <formula>0</formula>
    </cfRule>
  </conditionalFormatting>
  <conditionalFormatting sqref="H1419:I1454">
    <cfRule type="cellIs" dxfId="21" priority="128" operator="equal">
      <formula>0</formula>
    </cfRule>
  </conditionalFormatting>
  <conditionalFormatting sqref="I108:I1418">
    <cfRule type="cellIs" dxfId="20" priority="125" operator="equal">
      <formula>0</formula>
    </cfRule>
  </conditionalFormatting>
  <conditionalFormatting sqref="J108:IV1454">
    <cfRule type="cellIs" dxfId="19" priority="139" operator="equal">
      <formula>0</formula>
    </cfRule>
  </conditionalFormatting>
  <conditionalFormatting sqref="M6:IV6">
    <cfRule type="cellIs" dxfId="1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70" zoomScaleNormal="70" zoomScaleSheetLayoutView="85" workbookViewId="0">
      <selection activeCell="D20" sqref="D20:E20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50" t="s">
        <v>1454</v>
      </c>
      <c r="C2" s="550"/>
      <c r="D2" s="550"/>
      <c r="E2" s="550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55" t="s">
        <v>1532</v>
      </c>
      <c r="C4" s="556"/>
      <c r="D4" s="556"/>
      <c r="E4" s="557"/>
      <c r="F4" s="434"/>
      <c r="G4" s="434"/>
      <c r="H4" s="435"/>
      <c r="I4" s="580" t="s">
        <v>1533</v>
      </c>
      <c r="J4" s="581"/>
      <c r="K4" s="581"/>
      <c r="L4" s="582"/>
    </row>
    <row r="5" spans="1:12" ht="34.5" customHeight="1">
      <c r="A5" s="204"/>
      <c r="B5" s="437" t="s">
        <v>1379</v>
      </c>
      <c r="C5" s="277" t="s">
        <v>9</v>
      </c>
      <c r="D5" s="551"/>
      <c r="E5" s="552"/>
      <c r="F5" s="208"/>
      <c r="G5" s="208"/>
      <c r="I5" s="438" t="s">
        <v>1379</v>
      </c>
      <c r="J5" s="277" t="s">
        <v>9</v>
      </c>
      <c r="K5" s="583">
        <f>D5</f>
        <v>0</v>
      </c>
      <c r="L5" s="584"/>
    </row>
    <row r="6" spans="1:12" ht="31.5" customHeight="1">
      <c r="A6" s="204"/>
      <c r="B6" s="437" t="s">
        <v>1529</v>
      </c>
      <c r="C6" s="277" t="s">
        <v>9</v>
      </c>
      <c r="D6" s="560">
        <f>DATA!D17*1000</f>
        <v>23000</v>
      </c>
      <c r="E6" s="561"/>
      <c r="F6" s="208"/>
      <c r="G6" s="208"/>
      <c r="I6" s="438" t="s">
        <v>1530</v>
      </c>
      <c r="J6" s="277" t="s">
        <v>9</v>
      </c>
      <c r="K6" s="585">
        <f>DATA!D20*1000</f>
        <v>33000</v>
      </c>
      <c r="L6" s="586"/>
    </row>
    <row r="7" spans="1:12" ht="30.75" customHeight="1">
      <c r="A7" s="204"/>
      <c r="B7" s="437" t="s">
        <v>1441</v>
      </c>
      <c r="C7" s="277" t="s">
        <v>9</v>
      </c>
      <c r="D7" s="558"/>
      <c r="E7" s="559"/>
      <c r="F7" s="436" t="s">
        <v>1453</v>
      </c>
      <c r="I7" s="438" t="s">
        <v>1441</v>
      </c>
      <c r="J7" s="277" t="s">
        <v>9</v>
      </c>
      <c r="K7" s="587">
        <f>DATA!D21</f>
        <v>3</v>
      </c>
      <c r="L7" s="588"/>
    </row>
    <row r="8" spans="1:12" ht="51" customHeight="1">
      <c r="A8" s="204"/>
      <c r="B8" s="437" t="s">
        <v>1442</v>
      </c>
      <c r="C8" s="277" t="s">
        <v>9</v>
      </c>
      <c r="D8" s="558">
        <f>DATA!D19</f>
        <v>380</v>
      </c>
      <c r="E8" s="559"/>
      <c r="F8" s="436" t="s">
        <v>1453</v>
      </c>
      <c r="G8" s="431">
        <v>220</v>
      </c>
      <c r="I8" s="438" t="s">
        <v>1442</v>
      </c>
      <c r="J8" s="277" t="s">
        <v>9</v>
      </c>
      <c r="K8" s="587">
        <f>DATA!D22</f>
        <v>380</v>
      </c>
      <c r="L8" s="588"/>
    </row>
    <row r="9" spans="1:12" ht="30" customHeight="1" thickBot="1">
      <c r="A9" s="204"/>
      <c r="B9" s="443" t="s">
        <v>1541</v>
      </c>
      <c r="C9" s="433" t="s">
        <v>9</v>
      </c>
      <c r="D9" s="553">
        <f>IF(D7=1,D6/(380/3^0.5),(D6/(380*3^0.5)))</f>
        <v>34.94488471410893</v>
      </c>
      <c r="E9" s="554"/>
      <c r="F9" s="207"/>
      <c r="G9" s="432">
        <v>380</v>
      </c>
      <c r="I9" s="444" t="s">
        <v>1541</v>
      </c>
      <c r="J9" s="433" t="s">
        <v>9</v>
      </c>
      <c r="K9" s="589">
        <f>IF(K7=1,K6/(380/3^0.5),(K6/(380*3^0.5)))</f>
        <v>50.138312850678034</v>
      </c>
      <c r="L9" s="590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62"/>
      <c r="E12" s="563"/>
      <c r="F12" s="208"/>
      <c r="G12" s="208"/>
      <c r="I12" s="460" t="s">
        <v>1534</v>
      </c>
      <c r="J12" s="461" t="s">
        <v>9</v>
      </c>
      <c r="K12" s="562"/>
      <c r="L12" s="563"/>
    </row>
    <row r="13" spans="1:12" ht="31.5" customHeight="1">
      <c r="A13" s="204"/>
      <c r="B13" s="468" t="s">
        <v>1380</v>
      </c>
      <c r="C13" s="448" t="s">
        <v>9</v>
      </c>
      <c r="D13" s="566" t="s">
        <v>1614</v>
      </c>
      <c r="E13" s="567"/>
      <c r="F13" s="208"/>
      <c r="G13" s="208"/>
      <c r="I13" s="462" t="s">
        <v>1380</v>
      </c>
      <c r="J13" s="448" t="s">
        <v>9</v>
      </c>
      <c r="K13" s="566"/>
      <c r="L13" s="567"/>
    </row>
    <row r="14" spans="1:12" ht="30.75" customHeight="1">
      <c r="A14" s="204"/>
      <c r="B14" s="468" t="s">
        <v>1535</v>
      </c>
      <c r="C14" s="448" t="s">
        <v>9</v>
      </c>
      <c r="D14" s="574">
        <v>200</v>
      </c>
      <c r="E14" s="575"/>
      <c r="F14" s="436" t="s">
        <v>1453</v>
      </c>
      <c r="G14" s="440">
        <v>50</v>
      </c>
      <c r="I14" s="462" t="s">
        <v>1535</v>
      </c>
      <c r="J14" s="448" t="s">
        <v>9</v>
      </c>
      <c r="K14" s="574"/>
      <c r="L14" s="575"/>
    </row>
    <row r="15" spans="1:12" ht="57" customHeight="1">
      <c r="A15" s="204"/>
      <c r="B15" s="468" t="s">
        <v>1441</v>
      </c>
      <c r="C15" s="448" t="s">
        <v>9</v>
      </c>
      <c r="D15" s="454">
        <v>3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3</v>
      </c>
      <c r="L15" s="463"/>
    </row>
    <row r="16" spans="1:12" ht="44.25" customHeight="1">
      <c r="A16" s="204"/>
      <c r="B16" s="468" t="s">
        <v>1545</v>
      </c>
      <c r="C16" s="448"/>
      <c r="D16" s="576">
        <v>250</v>
      </c>
      <c r="E16" s="577"/>
      <c r="F16" s="436"/>
      <c r="G16" s="440">
        <v>160</v>
      </c>
      <c r="I16" s="462" t="s">
        <v>1537</v>
      </c>
      <c r="J16" s="448" t="s">
        <v>9</v>
      </c>
      <c r="K16" s="578">
        <f>K9</f>
        <v>50.138312850678034</v>
      </c>
      <c r="L16" s="579"/>
    </row>
    <row r="17" spans="1:12" ht="34.5" customHeight="1">
      <c r="A17" s="204"/>
      <c r="B17" s="468" t="s">
        <v>1538</v>
      </c>
      <c r="C17" s="448" t="s">
        <v>9</v>
      </c>
      <c r="D17" s="568">
        <f>IF(D15=1,D14/(20/3^0.5),(D14/(20*3^0.5)))</f>
        <v>5.7735026918962582</v>
      </c>
      <c r="E17" s="569"/>
      <c r="F17" s="436" t="s">
        <v>1453</v>
      </c>
      <c r="G17" s="441">
        <v>200</v>
      </c>
      <c r="I17" s="462" t="s">
        <v>1538</v>
      </c>
      <c r="J17" s="448" t="s">
        <v>9</v>
      </c>
      <c r="K17" s="572">
        <f>IF(K15=1,K14/(20/3^0.5),(K14/(20*3^0.5)))</f>
        <v>0</v>
      </c>
      <c r="L17" s="573"/>
    </row>
    <row r="18" spans="1:12" ht="34.5" customHeight="1">
      <c r="A18" s="204"/>
      <c r="B18" s="468" t="s">
        <v>1539</v>
      </c>
      <c r="C18" s="448" t="s">
        <v>9</v>
      </c>
      <c r="D18" s="568">
        <f>IF(D15=1,D14/(380/3^0.5),(D14/(380*3^0.5)))*1000</f>
        <v>303.86856273138204</v>
      </c>
      <c r="E18" s="569"/>
      <c r="F18" s="436" t="s">
        <v>1453</v>
      </c>
      <c r="G18" s="441">
        <v>250</v>
      </c>
      <c r="I18" s="462" t="s">
        <v>1539</v>
      </c>
      <c r="J18" s="448" t="s">
        <v>9</v>
      </c>
      <c r="K18" s="572">
        <f>IF(K15=1,K14/(380/3^0.5),(K14/(380*3^0.5)))*1000</f>
        <v>0</v>
      </c>
      <c r="L18" s="573"/>
    </row>
    <row r="19" spans="1:12" ht="30" customHeight="1">
      <c r="A19" s="204"/>
      <c r="B19" s="469" t="s">
        <v>1531</v>
      </c>
      <c r="C19" s="447" t="s">
        <v>9</v>
      </c>
      <c r="D19" s="568">
        <f>IF(D15=1,D14/(380/3^0.5),(D14/(380*3^0.5)))</f>
        <v>0.30386856273138202</v>
      </c>
      <c r="E19" s="569"/>
      <c r="F19" s="207"/>
      <c r="G19" s="432"/>
      <c r="I19" s="464" t="s">
        <v>1531</v>
      </c>
      <c r="J19" s="447" t="s">
        <v>9</v>
      </c>
      <c r="K19" s="572">
        <f>IF(K15=1,K14/(380/3^0.5),(K14/(380*3^0.5)))</f>
        <v>0</v>
      </c>
      <c r="L19" s="573"/>
    </row>
    <row r="20" spans="1:12" ht="30" customHeight="1" thickBot="1">
      <c r="A20" s="204"/>
      <c r="B20" s="470" t="s">
        <v>1540</v>
      </c>
      <c r="C20" s="466" t="s">
        <v>9</v>
      </c>
      <c r="D20" s="564">
        <f>D16/D18</f>
        <v>0.82272413359521657</v>
      </c>
      <c r="E20" s="565"/>
      <c r="F20" s="207"/>
      <c r="G20" s="432"/>
      <c r="I20" s="465" t="s">
        <v>1531</v>
      </c>
      <c r="J20" s="466" t="s">
        <v>9</v>
      </c>
      <c r="K20" s="570" t="e">
        <f>K16/K18</f>
        <v>#DIV/0!</v>
      </c>
      <c r="L20" s="571"/>
    </row>
    <row r="21" spans="1:12" ht="9.75" customHeight="1">
      <c r="A21" s="204"/>
      <c r="B21" s="455" t="s">
        <v>1540</v>
      </c>
      <c r="C21" s="456" t="s">
        <v>9</v>
      </c>
      <c r="D21" s="549">
        <v>1</v>
      </c>
      <c r="E21" s="549"/>
      <c r="F21" s="457"/>
      <c r="G21" s="458"/>
      <c r="H21" s="459"/>
      <c r="I21" s="455" t="s">
        <v>1531</v>
      </c>
      <c r="J21" s="456" t="s">
        <v>9</v>
      </c>
      <c r="K21" s="549">
        <v>1</v>
      </c>
      <c r="L21" s="549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46"/>
      <c r="C24" s="547"/>
      <c r="D24" s="547"/>
      <c r="E24" s="548"/>
      <c r="I24" s="546"/>
      <c r="J24" s="547"/>
      <c r="K24" s="547"/>
      <c r="L24" s="548"/>
    </row>
    <row r="26" spans="1:12">
      <c r="D26" s="450"/>
    </row>
    <row r="27" spans="1:12">
      <c r="D27" s="451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zoomScaleNormal="100" workbookViewId="0">
      <selection activeCell="D16" sqref="D16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91"/>
      <c r="C1" s="591"/>
      <c r="D1" s="591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10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9690000</v>
      </c>
    </row>
    <row r="10" spans="2:11" ht="20.100000000000001" customHeight="1">
      <c r="B10" s="291" t="s">
        <v>1446</v>
      </c>
      <c r="C10" s="292" t="s">
        <v>9</v>
      </c>
      <c r="D10" s="298">
        <f ca="1">RAB!K36</f>
        <v>4249655.5350000001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84993.110700000005</v>
      </c>
    </row>
    <row r="12" spans="2:11" ht="9" customHeight="1">
      <c r="B12" s="592"/>
      <c r="C12" s="592"/>
      <c r="D12" s="592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1617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1618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23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3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380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33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3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380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K13" sqref="K13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593" t="s">
        <v>1357</v>
      </c>
      <c r="C3" s="593"/>
      <c r="D3" s="593"/>
      <c r="E3" s="593"/>
      <c r="F3" s="305" t="str">
        <f>DATA!D14</f>
        <v>PUSKESMAS GABUS 1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594" t="s">
        <v>1349</v>
      </c>
      <c r="C5" s="594" t="s">
        <v>1358</v>
      </c>
      <c r="D5" s="595" t="s">
        <v>1359</v>
      </c>
      <c r="E5" s="595" t="s">
        <v>1360</v>
      </c>
      <c r="F5" s="594" t="s">
        <v>1361</v>
      </c>
      <c r="G5" s="594"/>
      <c r="H5" s="594"/>
      <c r="I5" s="594"/>
      <c r="J5" s="594"/>
      <c r="K5" s="594" t="s">
        <v>1362</v>
      </c>
      <c r="L5" s="594"/>
      <c r="M5" s="307"/>
      <c r="N5" s="598" t="s">
        <v>1363</v>
      </c>
      <c r="O5" s="595" t="s">
        <v>1364</v>
      </c>
      <c r="P5" s="595" t="s">
        <v>1365</v>
      </c>
      <c r="Q5" s="595" t="s">
        <v>1366</v>
      </c>
      <c r="R5" s="308"/>
      <c r="S5" s="309"/>
      <c r="T5" s="596" t="s">
        <v>1367</v>
      </c>
      <c r="U5" s="310"/>
    </row>
    <row r="6" spans="1:21" ht="20.100000000000001" customHeight="1">
      <c r="B6" s="594"/>
      <c r="C6" s="594"/>
      <c r="D6" s="594"/>
      <c r="E6" s="594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599"/>
      <c r="O6" s="594"/>
      <c r="P6" s="594"/>
      <c r="Q6" s="594"/>
      <c r="R6" s="308"/>
      <c r="S6" s="309"/>
      <c r="T6" s="594"/>
      <c r="U6" s="312"/>
    </row>
    <row r="7" spans="1:21" ht="20.100000000000001" customHeight="1">
      <c r="A7" s="313">
        <v>0</v>
      </c>
      <c r="B7" s="314">
        <v>2023</v>
      </c>
      <c r="C7" s="471">
        <f>DATA!D8*DATA!D26*2</f>
        <v>800</v>
      </c>
      <c r="D7" s="316">
        <f>C7*4/24</f>
        <v>133.33333333333334</v>
      </c>
      <c r="E7" s="316">
        <f>C7-D7</f>
        <v>666.66666666666663</v>
      </c>
      <c r="F7" s="317">
        <f ca="1">DATA!D10/1000000</f>
        <v>4.2496555350000005</v>
      </c>
      <c r="G7" s="318">
        <f ca="1">DATA!$D$11/1000000</f>
        <v>8.4993110699999999E-2</v>
      </c>
      <c r="H7" s="318">
        <f>C7*DATA!$D$5/1000000</f>
        <v>0.86730003670926725</v>
      </c>
      <c r="I7" s="318">
        <f>(C7*DATA!$D$5*DATA!$D$7)/1000000</f>
        <v>1.951425082595851E-2</v>
      </c>
      <c r="J7" s="316">
        <f ca="1">SUM(F7:I7)</f>
        <v>5.2214629332352258</v>
      </c>
      <c r="K7" s="319">
        <f>DATA!D9/1000000</f>
        <v>9.69</v>
      </c>
      <c r="L7" s="316">
        <f>((D7*DATA!$D$23)/1000000)+((E7*DATA!$D$24)/1000000)</f>
        <v>1.1557599999999999</v>
      </c>
      <c r="M7" s="316">
        <f>K7+L7</f>
        <v>10.845759999999999</v>
      </c>
      <c r="N7" s="316">
        <f ca="1">M7-J7</f>
        <v>5.6242970667647727</v>
      </c>
      <c r="O7" s="314">
        <v>1</v>
      </c>
      <c r="P7" s="316">
        <f ca="1">O7*N7</f>
        <v>5.6242970667647727</v>
      </c>
      <c r="Q7" s="316">
        <f ca="1">P7</f>
        <v>5.6242970667647727</v>
      </c>
      <c r="S7" s="304" t="str">
        <f ca="1">IF(Q7&lt;0,"a","")</f>
        <v/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4800</v>
      </c>
      <c r="D8" s="316">
        <f>C8*4/24</f>
        <v>800</v>
      </c>
      <c r="E8" s="316">
        <f t="shared" ref="E8:E32" si="0">C8-D8</f>
        <v>4000</v>
      </c>
      <c r="F8" s="314"/>
      <c r="G8" s="318">
        <f ca="1">DATA!$D$11/1000000</f>
        <v>8.4993110699999999E-2</v>
      </c>
      <c r="H8" s="318">
        <f>C8*DATA!$D$5/1000000</f>
        <v>5.2038002202556042</v>
      </c>
      <c r="I8" s="318">
        <f>(C8*DATA!$D$5*DATA!$D$7)/1000000</f>
        <v>0.11708550495575108</v>
      </c>
      <c r="J8" s="316">
        <f t="shared" ref="J8:J32" ca="1" si="1">SUM(F8:I8)</f>
        <v>5.4058788359113557</v>
      </c>
      <c r="K8" s="321"/>
      <c r="L8" s="316">
        <f>((D8*DATA!$D$23)/1000000)+((E8*DATA!$D$24)/1000000)</f>
        <v>6.9345600000000003</v>
      </c>
      <c r="M8" s="316">
        <f t="shared" ref="M8:M32" si="2">K8+L8</f>
        <v>6.9345600000000003</v>
      </c>
      <c r="N8" s="316">
        <f ca="1">M8-J8</f>
        <v>1.5286811640886446</v>
      </c>
      <c r="O8" s="315">
        <f>1/(1+'[92]Asumsi I'!$C$3)^(KKF!A8)</f>
        <v>0.89285714285714279</v>
      </c>
      <c r="P8" s="316">
        <f ca="1">O8*N8</f>
        <v>1.3648938965077184</v>
      </c>
      <c r="Q8" s="316">
        <f ca="1">Q7+P8</f>
        <v>6.9891909632724909</v>
      </c>
      <c r="S8" s="304" t="str">
        <f t="shared" ref="S8:S32" ca="1" si="3">IF(Q8&lt;0,"a","")</f>
        <v/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4800</v>
      </c>
      <c r="D9" s="316">
        <f t="shared" ref="D9:D32" si="5">C9*4/24</f>
        <v>800</v>
      </c>
      <c r="E9" s="316">
        <f t="shared" si="0"/>
        <v>4000</v>
      </c>
      <c r="F9" s="314"/>
      <c r="G9" s="318">
        <f ca="1">DATA!$D$11/1000000</f>
        <v>8.4993110699999999E-2</v>
      </c>
      <c r="H9" s="318">
        <f>C9*DATA!$D$5/1000000</f>
        <v>5.2038002202556042</v>
      </c>
      <c r="I9" s="318">
        <f>(C9*DATA!$D$5*DATA!$D$7)/1000000</f>
        <v>0.11708550495575108</v>
      </c>
      <c r="J9" s="316">
        <f t="shared" ca="1" si="1"/>
        <v>5.4058788359113557</v>
      </c>
      <c r="K9" s="316"/>
      <c r="L9" s="316">
        <f>((D9*DATA!$D$23)/1000000)+((E9*DATA!$D$24)/1000000)</f>
        <v>6.9345600000000003</v>
      </c>
      <c r="M9" s="316">
        <f t="shared" si="2"/>
        <v>6.9345600000000003</v>
      </c>
      <c r="N9" s="316">
        <f t="shared" ref="N9:N32" ca="1" si="6">M9-J9</f>
        <v>1.5286811640886446</v>
      </c>
      <c r="O9" s="322">
        <f>1/(1+'[92]Asumsi I'!$C$3)^(KKF!A9)</f>
        <v>0.79719387755102034</v>
      </c>
      <c r="P9" s="316">
        <f t="shared" ref="P9:P32" ca="1" si="7">O9*N9</f>
        <v>1.2186552647390343</v>
      </c>
      <c r="Q9" s="316">
        <f ca="1">Q8+P9</f>
        <v>8.2078462280115261</v>
      </c>
      <c r="S9" s="304" t="str">
        <f t="shared" ca="1" si="3"/>
        <v/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4800</v>
      </c>
      <c r="D10" s="316">
        <f t="shared" si="5"/>
        <v>800</v>
      </c>
      <c r="E10" s="316">
        <f t="shared" si="0"/>
        <v>4000</v>
      </c>
      <c r="F10" s="314"/>
      <c r="G10" s="318">
        <f ca="1">DATA!$D$11/1000000</f>
        <v>8.4993110699999999E-2</v>
      </c>
      <c r="H10" s="318">
        <f>C10*DATA!$D$5/1000000</f>
        <v>5.2038002202556042</v>
      </c>
      <c r="I10" s="318">
        <f>(C10*DATA!$D$5*DATA!$D$7)/1000000</f>
        <v>0.11708550495575108</v>
      </c>
      <c r="J10" s="316">
        <f t="shared" ca="1" si="1"/>
        <v>5.4058788359113557</v>
      </c>
      <c r="K10" s="314"/>
      <c r="L10" s="316">
        <f>((D10*DATA!$D$23)/1000000)+((E10*DATA!$D$24)/1000000)</f>
        <v>6.9345600000000003</v>
      </c>
      <c r="M10" s="316">
        <f t="shared" si="2"/>
        <v>6.9345600000000003</v>
      </c>
      <c r="N10" s="316">
        <f t="shared" ca="1" si="6"/>
        <v>1.5286811640886446</v>
      </c>
      <c r="O10" s="315">
        <f>1/(1+'[92]Asumsi I'!$C$3)^(KKF!A10)</f>
        <v>0.71178024781341087</v>
      </c>
      <c r="P10" s="316">
        <f t="shared" ca="1" si="7"/>
        <v>1.0880850578027088</v>
      </c>
      <c r="Q10" s="316">
        <f t="shared" ref="Q10:Q30" ca="1" si="9">Q9+P10</f>
        <v>9.295931285814234</v>
      </c>
      <c r="S10" s="304" t="str">
        <f t="shared" ca="1" si="3"/>
        <v/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4800</v>
      </c>
      <c r="D11" s="316">
        <f t="shared" si="5"/>
        <v>800</v>
      </c>
      <c r="E11" s="316">
        <f t="shared" si="0"/>
        <v>4000</v>
      </c>
      <c r="F11" s="314"/>
      <c r="G11" s="318">
        <f ca="1">DATA!$D$11/1000000</f>
        <v>8.4993110699999999E-2</v>
      </c>
      <c r="H11" s="318">
        <f>C11*DATA!$D$5/1000000</f>
        <v>5.2038002202556042</v>
      </c>
      <c r="I11" s="318">
        <f>(C11*DATA!$D$5*DATA!$D$7)/1000000</f>
        <v>0.11708550495575108</v>
      </c>
      <c r="J11" s="316">
        <f t="shared" ca="1" si="1"/>
        <v>5.4058788359113557</v>
      </c>
      <c r="K11" s="314"/>
      <c r="L11" s="316">
        <f>((D11*DATA!$D$23)/1000000)+((E11*DATA!$D$24)/1000000)</f>
        <v>6.9345600000000003</v>
      </c>
      <c r="M11" s="316">
        <f t="shared" si="2"/>
        <v>6.9345600000000003</v>
      </c>
      <c r="N11" s="316">
        <f t="shared" ca="1" si="6"/>
        <v>1.5286811640886446</v>
      </c>
      <c r="O11" s="315">
        <f>1/(1+'[92]Asumsi I'!$C$3)^(KKF!A11)</f>
        <v>0.63551807840483121</v>
      </c>
      <c r="P11" s="316">
        <f t="shared" ca="1" si="7"/>
        <v>0.97150451589527587</v>
      </c>
      <c r="Q11" s="316">
        <f t="shared" ca="1" si="9"/>
        <v>10.26743580170951</v>
      </c>
      <c r="S11" s="304" t="str">
        <f t="shared" ca="1" si="3"/>
        <v/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4800</v>
      </c>
      <c r="D12" s="316">
        <f t="shared" si="5"/>
        <v>800</v>
      </c>
      <c r="E12" s="316">
        <f t="shared" si="0"/>
        <v>4000</v>
      </c>
      <c r="F12" s="314"/>
      <c r="G12" s="318">
        <f ca="1">DATA!$D$11/1000000</f>
        <v>8.4993110699999999E-2</v>
      </c>
      <c r="H12" s="318">
        <f>C12*DATA!$D$5/1000000</f>
        <v>5.2038002202556042</v>
      </c>
      <c r="I12" s="318">
        <f>(C12*DATA!$D$5*DATA!$D$7)/1000000</f>
        <v>0.11708550495575108</v>
      </c>
      <c r="J12" s="316">
        <f t="shared" ca="1" si="1"/>
        <v>5.4058788359113557</v>
      </c>
      <c r="K12" s="314"/>
      <c r="L12" s="316">
        <f>((D12*DATA!$D$23)/1000000)+((E12*DATA!$D$24)/1000000)</f>
        <v>6.9345600000000003</v>
      </c>
      <c r="M12" s="316">
        <f t="shared" si="2"/>
        <v>6.9345600000000003</v>
      </c>
      <c r="N12" s="316">
        <f t="shared" ca="1" si="6"/>
        <v>1.5286811640886446</v>
      </c>
      <c r="O12" s="315">
        <f>1/(1+'[92]Asumsi I'!$C$3)^(KKF!A12)</f>
        <v>0.56742685571859919</v>
      </c>
      <c r="P12" s="316">
        <f t="shared" ca="1" si="7"/>
        <v>0.86741474633506765</v>
      </c>
      <c r="Q12" s="316">
        <f t="shared" ca="1" si="9"/>
        <v>11.134850548044579</v>
      </c>
      <c r="S12" s="304" t="str">
        <f t="shared" ca="1" si="3"/>
        <v/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4800</v>
      </c>
      <c r="D13" s="316">
        <f t="shared" si="5"/>
        <v>800</v>
      </c>
      <c r="E13" s="316">
        <f t="shared" si="0"/>
        <v>4000</v>
      </c>
      <c r="F13" s="314"/>
      <c r="G13" s="318">
        <f ca="1">DATA!$D$11/1000000</f>
        <v>8.4993110699999999E-2</v>
      </c>
      <c r="H13" s="318">
        <f>C13*DATA!$D$5/1000000</f>
        <v>5.2038002202556042</v>
      </c>
      <c r="I13" s="318">
        <f>(C13*DATA!$D$5*DATA!$D$7)/1000000</f>
        <v>0.11708550495575108</v>
      </c>
      <c r="J13" s="316">
        <f t="shared" ca="1" si="1"/>
        <v>5.4058788359113557</v>
      </c>
      <c r="K13" s="314"/>
      <c r="L13" s="316">
        <f>((D13*DATA!$D$23)/1000000)+((E13*DATA!$D$24)/1000000)</f>
        <v>6.9345600000000003</v>
      </c>
      <c r="M13" s="316">
        <f t="shared" si="2"/>
        <v>6.9345600000000003</v>
      </c>
      <c r="N13" s="316">
        <f t="shared" ca="1" si="6"/>
        <v>1.5286811640886446</v>
      </c>
      <c r="O13" s="315">
        <f>1/(1+'[92]Asumsi I'!$C$3)^(KKF!A13)</f>
        <v>0.50663112117732068</v>
      </c>
      <c r="P13" s="316">
        <f t="shared" ca="1" si="7"/>
        <v>0.77447745208488172</v>
      </c>
      <c r="Q13" s="316">
        <f t="shared" ca="1" si="9"/>
        <v>11.909328000129461</v>
      </c>
      <c r="S13" s="304" t="str">
        <f t="shared" ca="1" si="3"/>
        <v/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4800</v>
      </c>
      <c r="D14" s="316">
        <f t="shared" si="5"/>
        <v>800</v>
      </c>
      <c r="E14" s="316">
        <f t="shared" si="0"/>
        <v>4000</v>
      </c>
      <c r="F14" s="314"/>
      <c r="G14" s="318">
        <f ca="1">DATA!$D$11/1000000</f>
        <v>8.4993110699999999E-2</v>
      </c>
      <c r="H14" s="318">
        <f>C14*DATA!$D$5/1000000</f>
        <v>5.2038002202556042</v>
      </c>
      <c r="I14" s="318">
        <f>(C14*DATA!$D$5*DATA!$D$7)/1000000</f>
        <v>0.11708550495575108</v>
      </c>
      <c r="J14" s="316">
        <f t="shared" ca="1" si="1"/>
        <v>5.4058788359113557</v>
      </c>
      <c r="K14" s="314"/>
      <c r="L14" s="316">
        <f>((D14*DATA!$D$23)/1000000)+((E14*DATA!$D$24)/1000000)</f>
        <v>6.9345600000000003</v>
      </c>
      <c r="M14" s="316">
        <f t="shared" si="2"/>
        <v>6.9345600000000003</v>
      </c>
      <c r="N14" s="316">
        <f t="shared" ca="1" si="6"/>
        <v>1.5286811640886446</v>
      </c>
      <c r="O14" s="315">
        <f>1/(1+'[92]Asumsi I'!$C$3)^(KKF!A14)</f>
        <v>0.45234921533689343</v>
      </c>
      <c r="P14" s="316">
        <f t="shared" ca="1" si="7"/>
        <v>0.69149772507578722</v>
      </c>
      <c r="Q14" s="316">
        <f t="shared" ca="1" si="9"/>
        <v>12.600825725205249</v>
      </c>
      <c r="S14" s="304" t="str">
        <f t="shared" ca="1" si="3"/>
        <v/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4800</v>
      </c>
      <c r="D15" s="316">
        <f t="shared" si="5"/>
        <v>800</v>
      </c>
      <c r="E15" s="316">
        <f t="shared" si="0"/>
        <v>4000</v>
      </c>
      <c r="F15" s="314"/>
      <c r="G15" s="318">
        <f ca="1">DATA!$D$11/1000000</f>
        <v>8.4993110699999999E-2</v>
      </c>
      <c r="H15" s="318">
        <f>C15*DATA!$D$5/1000000</f>
        <v>5.2038002202556042</v>
      </c>
      <c r="I15" s="318">
        <f>(C15*DATA!$D$5*DATA!$D$7)/1000000</f>
        <v>0.11708550495575108</v>
      </c>
      <c r="J15" s="316">
        <f t="shared" ca="1" si="1"/>
        <v>5.4058788359113557</v>
      </c>
      <c r="K15" s="314"/>
      <c r="L15" s="316">
        <f>((D15*DATA!$D$23)/1000000)+((E15*DATA!$D$24)/1000000)</f>
        <v>6.9345600000000003</v>
      </c>
      <c r="M15" s="316">
        <f t="shared" si="2"/>
        <v>6.9345600000000003</v>
      </c>
      <c r="N15" s="316">
        <f t="shared" ca="1" si="6"/>
        <v>1.5286811640886446</v>
      </c>
      <c r="O15" s="315">
        <f>1/(1+'[92]Asumsi I'!$C$3)^(KKF!A15)</f>
        <v>0.4038832279793691</v>
      </c>
      <c r="P15" s="316">
        <f t="shared" ca="1" si="7"/>
        <v>0.61740868310338137</v>
      </c>
      <c r="Q15" s="316">
        <f t="shared" ca="1" si="9"/>
        <v>13.21823440830863</v>
      </c>
      <c r="S15" s="304" t="str">
        <f t="shared" ca="1" si="3"/>
        <v/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4800</v>
      </c>
      <c r="D16" s="316">
        <f t="shared" si="5"/>
        <v>800</v>
      </c>
      <c r="E16" s="316">
        <f t="shared" si="0"/>
        <v>4000</v>
      </c>
      <c r="F16" s="314"/>
      <c r="G16" s="318">
        <f ca="1">DATA!$D$11/1000000</f>
        <v>8.4993110699999999E-2</v>
      </c>
      <c r="H16" s="318">
        <f>C16*DATA!$D$5/1000000</f>
        <v>5.2038002202556042</v>
      </c>
      <c r="I16" s="318">
        <f>(C16*DATA!$D$5*DATA!$D$7)/1000000</f>
        <v>0.11708550495575108</v>
      </c>
      <c r="J16" s="316">
        <f t="shared" ca="1" si="1"/>
        <v>5.4058788359113557</v>
      </c>
      <c r="K16" s="314"/>
      <c r="L16" s="316">
        <f>((D16*DATA!$D$23)/1000000)+((E16*DATA!$D$24)/1000000)</f>
        <v>6.9345600000000003</v>
      </c>
      <c r="M16" s="316">
        <f t="shared" si="2"/>
        <v>6.9345600000000003</v>
      </c>
      <c r="N16" s="316">
        <f t="shared" ca="1" si="6"/>
        <v>1.5286811640886446</v>
      </c>
      <c r="O16" s="315">
        <f>1/(1+'[92]Asumsi I'!$C$3)^(KKF!A16)</f>
        <v>0.36061002498157957</v>
      </c>
      <c r="P16" s="316">
        <f t="shared" ca="1" si="7"/>
        <v>0.5512577527708763</v>
      </c>
      <c r="Q16" s="316">
        <f t="shared" ca="1" si="9"/>
        <v>13.769492161079507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4800</v>
      </c>
      <c r="D17" s="316">
        <f t="shared" si="5"/>
        <v>800</v>
      </c>
      <c r="E17" s="316">
        <f t="shared" si="0"/>
        <v>4000</v>
      </c>
      <c r="F17" s="314"/>
      <c r="G17" s="318">
        <f ca="1">DATA!$D$11/1000000</f>
        <v>8.4993110699999999E-2</v>
      </c>
      <c r="H17" s="318">
        <f>C17*DATA!$D$5/1000000</f>
        <v>5.2038002202556042</v>
      </c>
      <c r="I17" s="318">
        <f>(C17*DATA!$D$5*DATA!$D$7)/1000000</f>
        <v>0.11708550495575108</v>
      </c>
      <c r="J17" s="316">
        <f t="shared" ca="1" si="1"/>
        <v>5.4058788359113557</v>
      </c>
      <c r="K17" s="314"/>
      <c r="L17" s="316">
        <f>((D17*DATA!$D$23)/1000000)+((E17*DATA!$D$24)/1000000)</f>
        <v>6.9345600000000003</v>
      </c>
      <c r="M17" s="316">
        <f t="shared" si="2"/>
        <v>6.9345600000000003</v>
      </c>
      <c r="N17" s="316">
        <f t="shared" ca="1" si="6"/>
        <v>1.5286811640886446</v>
      </c>
      <c r="O17" s="315">
        <f>1/(1+'[92]Asumsi I'!$C$3)^(KKF!A17)</f>
        <v>0.32197323659069599</v>
      </c>
      <c r="P17" s="316">
        <f t="shared" ca="1" si="7"/>
        <v>0.49219442211685371</v>
      </c>
      <c r="Q17" s="316">
        <f t="shared" ca="1" si="9"/>
        <v>14.26168658319636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4800</v>
      </c>
      <c r="D18" s="316">
        <f t="shared" si="5"/>
        <v>800</v>
      </c>
      <c r="E18" s="316">
        <f t="shared" si="0"/>
        <v>4000</v>
      </c>
      <c r="F18" s="314"/>
      <c r="G18" s="318">
        <f ca="1">DATA!$D$11/1000000</f>
        <v>8.4993110699999999E-2</v>
      </c>
      <c r="H18" s="318">
        <f>C18*DATA!$D$5/1000000</f>
        <v>5.2038002202556042</v>
      </c>
      <c r="I18" s="318">
        <f>(C18*DATA!$D$5*DATA!$D$7)/1000000</f>
        <v>0.11708550495575108</v>
      </c>
      <c r="J18" s="316">
        <f t="shared" ca="1" si="1"/>
        <v>5.4058788359113557</v>
      </c>
      <c r="K18" s="314"/>
      <c r="L18" s="316">
        <f>((D18*DATA!$D$23)/1000000)+((E18*DATA!$D$24)/1000000)</f>
        <v>6.9345600000000003</v>
      </c>
      <c r="M18" s="316">
        <f t="shared" si="2"/>
        <v>6.9345600000000003</v>
      </c>
      <c r="N18" s="316">
        <f t="shared" ca="1" si="6"/>
        <v>1.5286811640886446</v>
      </c>
      <c r="O18" s="315">
        <f>1/(1+'[92]Asumsi I'!$C$3)^(KKF!A18)</f>
        <v>0.28747610409883567</v>
      </c>
      <c r="P18" s="316">
        <f t="shared" ca="1" si="7"/>
        <v>0.43945930546147649</v>
      </c>
      <c r="Q18" s="316">
        <f t="shared" ca="1" si="9"/>
        <v>14.701145888657836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4800</v>
      </c>
      <c r="D19" s="316">
        <f t="shared" si="5"/>
        <v>800</v>
      </c>
      <c r="E19" s="316">
        <f t="shared" si="0"/>
        <v>4000</v>
      </c>
      <c r="F19" s="314"/>
      <c r="G19" s="318">
        <f ca="1">DATA!$D$11/1000000</f>
        <v>8.4993110699999999E-2</v>
      </c>
      <c r="H19" s="318">
        <f>C19*DATA!$D$5/1000000</f>
        <v>5.2038002202556042</v>
      </c>
      <c r="I19" s="318">
        <f>(C19*DATA!$D$5*DATA!$D$7)/1000000</f>
        <v>0.11708550495575108</v>
      </c>
      <c r="J19" s="316">
        <f t="shared" ca="1" si="1"/>
        <v>5.4058788359113557</v>
      </c>
      <c r="K19" s="314"/>
      <c r="L19" s="316">
        <f>((D19*DATA!$D$23)/1000000)+((E19*DATA!$D$24)/1000000)</f>
        <v>6.9345600000000003</v>
      </c>
      <c r="M19" s="316">
        <f t="shared" si="2"/>
        <v>6.9345600000000003</v>
      </c>
      <c r="N19" s="316">
        <f t="shared" ca="1" si="6"/>
        <v>1.5286811640886446</v>
      </c>
      <c r="O19" s="315">
        <f>1/(1+'[92]Asumsi I'!$C$3)^(KKF!A19)</f>
        <v>0.25667509294538904</v>
      </c>
      <c r="P19" s="316">
        <f t="shared" ca="1" si="7"/>
        <v>0.39237437987631835</v>
      </c>
      <c r="Q19" s="316">
        <f t="shared" ca="1" si="9"/>
        <v>15.093520268534155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4800</v>
      </c>
      <c r="D20" s="316">
        <f t="shared" si="5"/>
        <v>800</v>
      </c>
      <c r="E20" s="316">
        <f t="shared" si="0"/>
        <v>4000</v>
      </c>
      <c r="F20" s="314"/>
      <c r="G20" s="318">
        <f ca="1">DATA!$D$11/1000000</f>
        <v>8.4993110699999999E-2</v>
      </c>
      <c r="H20" s="318">
        <f>C20*DATA!$D$5/1000000</f>
        <v>5.2038002202556042</v>
      </c>
      <c r="I20" s="318">
        <f>(C20*DATA!$D$5*DATA!$D$7)/1000000</f>
        <v>0.11708550495575108</v>
      </c>
      <c r="J20" s="316">
        <f t="shared" ca="1" si="1"/>
        <v>5.4058788359113557</v>
      </c>
      <c r="K20" s="314"/>
      <c r="L20" s="316">
        <f>((D20*DATA!$D$23)/1000000)+((E20*DATA!$D$24)/1000000)</f>
        <v>6.9345600000000003</v>
      </c>
      <c r="M20" s="316">
        <f t="shared" si="2"/>
        <v>6.9345600000000003</v>
      </c>
      <c r="N20" s="316">
        <f t="shared" ca="1" si="6"/>
        <v>1.5286811640886446</v>
      </c>
      <c r="O20" s="315">
        <f>1/(1+'[92]Asumsi I'!$C$3)^(KKF!A20)</f>
        <v>0.22917419012981158</v>
      </c>
      <c r="P20" s="316">
        <f t="shared" ca="1" si="7"/>
        <v>0.35033426774671272</v>
      </c>
      <c r="Q20" s="316">
        <f t="shared" ca="1" si="9"/>
        <v>15.443854536280867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4800</v>
      </c>
      <c r="D21" s="316">
        <f t="shared" si="5"/>
        <v>800</v>
      </c>
      <c r="E21" s="316">
        <f t="shared" si="0"/>
        <v>4000</v>
      </c>
      <c r="F21" s="314"/>
      <c r="G21" s="318">
        <f ca="1">DATA!$D$11/1000000</f>
        <v>8.4993110699999999E-2</v>
      </c>
      <c r="H21" s="318">
        <f>C21*DATA!$D$5/1000000</f>
        <v>5.2038002202556042</v>
      </c>
      <c r="I21" s="318">
        <f>(C21*DATA!$D$5*DATA!$D$7)/1000000</f>
        <v>0.11708550495575108</v>
      </c>
      <c r="J21" s="316">
        <f t="shared" ca="1" si="1"/>
        <v>5.4058788359113557</v>
      </c>
      <c r="K21" s="314"/>
      <c r="L21" s="316">
        <f>((D21*DATA!$D$23)/1000000)+((E21*DATA!$D$24)/1000000)</f>
        <v>6.9345600000000003</v>
      </c>
      <c r="M21" s="316">
        <f t="shared" si="2"/>
        <v>6.9345600000000003</v>
      </c>
      <c r="N21" s="316">
        <f t="shared" ca="1" si="6"/>
        <v>1.5286811640886446</v>
      </c>
      <c r="O21" s="315">
        <f>1/(1+'[92]Asumsi I'!$C$3)^(KKF!A21)</f>
        <v>0.20461981261590317</v>
      </c>
      <c r="P21" s="316">
        <f t="shared" ca="1" si="7"/>
        <v>0.31279845334527917</v>
      </c>
      <c r="Q21" s="316">
        <f t="shared" ca="1" si="9"/>
        <v>15.756652989626145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4800</v>
      </c>
      <c r="D22" s="316">
        <f t="shared" si="5"/>
        <v>800</v>
      </c>
      <c r="E22" s="316">
        <f t="shared" si="0"/>
        <v>4000</v>
      </c>
      <c r="F22" s="314"/>
      <c r="G22" s="318">
        <f ca="1">DATA!$D$11/1000000</f>
        <v>8.4993110699999999E-2</v>
      </c>
      <c r="H22" s="318">
        <f>C22*DATA!$D$5/1000000</f>
        <v>5.2038002202556042</v>
      </c>
      <c r="I22" s="318">
        <f>(C22*DATA!$D$5*DATA!$D$7)/1000000</f>
        <v>0.11708550495575108</v>
      </c>
      <c r="J22" s="316">
        <f t="shared" ca="1" si="1"/>
        <v>5.4058788359113557</v>
      </c>
      <c r="K22" s="314"/>
      <c r="L22" s="316">
        <f>((D22*DATA!$D$23)/1000000)+((E22*DATA!$D$24)/1000000)</f>
        <v>6.9345600000000003</v>
      </c>
      <c r="M22" s="316">
        <f t="shared" si="2"/>
        <v>6.9345600000000003</v>
      </c>
      <c r="N22" s="316">
        <f t="shared" ca="1" si="6"/>
        <v>1.5286811640886446</v>
      </c>
      <c r="O22" s="315">
        <f>1/(1+'[92]Asumsi I'!$C$3)^(KKF!A22)</f>
        <v>0.18269626126419927</v>
      </c>
      <c r="P22" s="316">
        <f t="shared" ca="1" si="7"/>
        <v>0.27928433334399932</v>
      </c>
      <c r="Q22" s="316">
        <f t="shared" ca="1" si="9"/>
        <v>16.035937322970145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4800</v>
      </c>
      <c r="D23" s="316">
        <f t="shared" si="5"/>
        <v>800</v>
      </c>
      <c r="E23" s="316">
        <f t="shared" si="0"/>
        <v>4000</v>
      </c>
      <c r="F23" s="314"/>
      <c r="G23" s="318">
        <f ca="1">DATA!$D$11/1000000</f>
        <v>8.4993110699999999E-2</v>
      </c>
      <c r="H23" s="318">
        <f>C23*DATA!$D$5/1000000</f>
        <v>5.2038002202556042</v>
      </c>
      <c r="I23" s="318">
        <f>(C23*DATA!$D$5*DATA!$D$7)/1000000</f>
        <v>0.11708550495575108</v>
      </c>
      <c r="J23" s="316">
        <f t="shared" ca="1" si="1"/>
        <v>5.4058788359113557</v>
      </c>
      <c r="K23" s="314"/>
      <c r="L23" s="316">
        <f>((D23*DATA!$D$23)/1000000)+((E23*DATA!$D$24)/1000000)</f>
        <v>6.9345600000000003</v>
      </c>
      <c r="M23" s="316">
        <f t="shared" si="2"/>
        <v>6.9345600000000003</v>
      </c>
      <c r="N23" s="316">
        <f t="shared" ca="1" si="6"/>
        <v>1.5286811640886446</v>
      </c>
      <c r="O23" s="315">
        <f>1/(1+'[92]Asumsi I'!$C$3)^(KKF!A23)</f>
        <v>0.16312166184303503</v>
      </c>
      <c r="P23" s="316">
        <f t="shared" ca="1" si="7"/>
        <v>0.24936101191428503</v>
      </c>
      <c r="Q23" s="316">
        <f t="shared" ca="1" si="9"/>
        <v>16.28529833488443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4800</v>
      </c>
      <c r="D24" s="316">
        <f t="shared" si="5"/>
        <v>800</v>
      </c>
      <c r="E24" s="316">
        <f t="shared" si="0"/>
        <v>4000</v>
      </c>
      <c r="F24" s="314"/>
      <c r="G24" s="318">
        <f ca="1">DATA!$D$11/1000000</f>
        <v>8.4993110699999999E-2</v>
      </c>
      <c r="H24" s="318">
        <f>C24*DATA!$D$5/1000000</f>
        <v>5.2038002202556042</v>
      </c>
      <c r="I24" s="318">
        <f>(C24*DATA!$D$5*DATA!$D$7)/1000000</f>
        <v>0.11708550495575108</v>
      </c>
      <c r="J24" s="316">
        <f t="shared" ca="1" si="1"/>
        <v>5.4058788359113557</v>
      </c>
      <c r="K24" s="314"/>
      <c r="L24" s="316">
        <f>((D24*DATA!$D$23)/1000000)+((E24*DATA!$D$24)/1000000)</f>
        <v>6.9345600000000003</v>
      </c>
      <c r="M24" s="316">
        <f t="shared" si="2"/>
        <v>6.9345600000000003</v>
      </c>
      <c r="N24" s="316">
        <f t="shared" ca="1" si="6"/>
        <v>1.5286811640886446</v>
      </c>
      <c r="O24" s="315">
        <f>1/(1+'[92]Asumsi I'!$C$3)^(KKF!A24)</f>
        <v>0.14564434093128129</v>
      </c>
      <c r="P24" s="316">
        <f t="shared" ca="1" si="7"/>
        <v>0.22264376063775451</v>
      </c>
      <c r="Q24" s="316">
        <f t="shared" ca="1" si="9"/>
        <v>16.507942095522186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4800</v>
      </c>
      <c r="D25" s="316">
        <f t="shared" si="5"/>
        <v>800</v>
      </c>
      <c r="E25" s="316">
        <f t="shared" si="0"/>
        <v>4000</v>
      </c>
      <c r="F25" s="314"/>
      <c r="G25" s="318">
        <f ca="1">DATA!$D$11/1000000</f>
        <v>8.4993110699999999E-2</v>
      </c>
      <c r="H25" s="318">
        <f>C25*DATA!$D$5/1000000</f>
        <v>5.2038002202556042</v>
      </c>
      <c r="I25" s="318">
        <f>(C25*DATA!$D$5*DATA!$D$7)/1000000</f>
        <v>0.11708550495575108</v>
      </c>
      <c r="J25" s="316">
        <f t="shared" ca="1" si="1"/>
        <v>5.4058788359113557</v>
      </c>
      <c r="K25" s="314"/>
      <c r="L25" s="316">
        <f>((D25*DATA!$D$23)/1000000)+((E25*DATA!$D$24)/1000000)</f>
        <v>6.9345600000000003</v>
      </c>
      <c r="M25" s="316">
        <f t="shared" si="2"/>
        <v>6.9345600000000003</v>
      </c>
      <c r="N25" s="316">
        <f t="shared" ca="1" si="6"/>
        <v>1.5286811640886446</v>
      </c>
      <c r="O25" s="315">
        <f>1/(1+'[92]Asumsi I'!$C$3)^(KKF!A25)</f>
        <v>0.13003959011721541</v>
      </c>
      <c r="P25" s="316">
        <f t="shared" ca="1" si="7"/>
        <v>0.19878907199799506</v>
      </c>
      <c r="Q25" s="316">
        <f t="shared" ca="1" si="9"/>
        <v>16.706731167520182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4800</v>
      </c>
      <c r="D26" s="316">
        <f t="shared" si="5"/>
        <v>800</v>
      </c>
      <c r="E26" s="316">
        <f t="shared" si="0"/>
        <v>4000</v>
      </c>
      <c r="F26" s="314"/>
      <c r="G26" s="318">
        <f ca="1">DATA!$D$11/1000000</f>
        <v>8.4993110699999999E-2</v>
      </c>
      <c r="H26" s="318">
        <f>C26*DATA!$D$5/1000000</f>
        <v>5.2038002202556042</v>
      </c>
      <c r="I26" s="318">
        <f>(C26*DATA!$D$5*DATA!$D$7)/1000000</f>
        <v>0.11708550495575108</v>
      </c>
      <c r="J26" s="316">
        <f t="shared" ca="1" si="1"/>
        <v>5.4058788359113557</v>
      </c>
      <c r="K26" s="314"/>
      <c r="L26" s="316">
        <f>((D26*DATA!$D$23)/1000000)+((E26*DATA!$D$24)/1000000)</f>
        <v>6.9345600000000003</v>
      </c>
      <c r="M26" s="316">
        <f t="shared" si="2"/>
        <v>6.9345600000000003</v>
      </c>
      <c r="N26" s="316">
        <f t="shared" ca="1" si="6"/>
        <v>1.5286811640886446</v>
      </c>
      <c r="O26" s="315">
        <f>1/(1+'[92]Asumsi I'!$C$3)^(KKF!A26)</f>
        <v>0.1161067768903709</v>
      </c>
      <c r="P26" s="316">
        <f t="shared" ca="1" si="7"/>
        <v>0.17749024285535273</v>
      </c>
      <c r="Q26" s="316">
        <f t="shared" ca="1" si="9"/>
        <v>16.884221410375535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4800</v>
      </c>
      <c r="D27" s="316">
        <f t="shared" si="5"/>
        <v>800</v>
      </c>
      <c r="E27" s="316">
        <f t="shared" si="0"/>
        <v>4000</v>
      </c>
      <c r="F27" s="314"/>
      <c r="G27" s="318">
        <f ca="1">DATA!$D$11/1000000</f>
        <v>8.4993110699999999E-2</v>
      </c>
      <c r="H27" s="318">
        <f>C27*DATA!$D$5/1000000</f>
        <v>5.2038002202556042</v>
      </c>
      <c r="I27" s="318">
        <f>(C27*DATA!$D$5*DATA!$D$7)/1000000</f>
        <v>0.11708550495575108</v>
      </c>
      <c r="J27" s="316">
        <f t="shared" ca="1" si="1"/>
        <v>5.4058788359113557</v>
      </c>
      <c r="K27" s="314"/>
      <c r="L27" s="316">
        <f>((D27*DATA!$D$23)/1000000)+((E27*DATA!$D$24)/1000000)</f>
        <v>6.9345600000000003</v>
      </c>
      <c r="M27" s="316">
        <f t="shared" si="2"/>
        <v>6.9345600000000003</v>
      </c>
      <c r="N27" s="316">
        <f t="shared" ca="1" si="6"/>
        <v>1.5286811640886446</v>
      </c>
      <c r="O27" s="315">
        <f>1/(1+'[92]Asumsi I'!$C$3)^(KKF!A27)</f>
        <v>0.1036667650806883</v>
      </c>
      <c r="P27" s="316">
        <f t="shared" ca="1" si="7"/>
        <v>0.15847343112085063</v>
      </c>
      <c r="Q27" s="316">
        <f t="shared" ca="1" si="9"/>
        <v>17.042694841496385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4800</v>
      </c>
      <c r="D28" s="316">
        <f t="shared" si="5"/>
        <v>800</v>
      </c>
      <c r="E28" s="316">
        <f t="shared" si="0"/>
        <v>4000</v>
      </c>
      <c r="F28" s="314"/>
      <c r="G28" s="318">
        <f ca="1">DATA!$D$11/1000000</f>
        <v>8.4993110699999999E-2</v>
      </c>
      <c r="H28" s="318">
        <f>C28*DATA!$D$5/1000000</f>
        <v>5.2038002202556042</v>
      </c>
      <c r="I28" s="318">
        <f>(C28*DATA!$D$5*DATA!$D$7)/1000000</f>
        <v>0.11708550495575108</v>
      </c>
      <c r="J28" s="316">
        <f t="shared" ca="1" si="1"/>
        <v>5.4058788359113557</v>
      </c>
      <c r="K28" s="314"/>
      <c r="L28" s="316">
        <f>((D28*DATA!$D$23)/1000000)+((E28*DATA!$D$24)/1000000)</f>
        <v>6.9345600000000003</v>
      </c>
      <c r="M28" s="316">
        <f t="shared" si="2"/>
        <v>6.9345600000000003</v>
      </c>
      <c r="N28" s="316">
        <f t="shared" ca="1" si="6"/>
        <v>1.5286811640886446</v>
      </c>
      <c r="O28" s="315">
        <f>1/(1+'[92]Asumsi I'!$C$3)^(KKF!A28)</f>
        <v>9.2559611679185971E-2</v>
      </c>
      <c r="P28" s="316">
        <f t="shared" ca="1" si="7"/>
        <v>0.14149413492933091</v>
      </c>
      <c r="Q28" s="316">
        <f t="shared" ca="1" si="9"/>
        <v>17.184188976425716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4800</v>
      </c>
      <c r="D29" s="316">
        <f t="shared" si="5"/>
        <v>800</v>
      </c>
      <c r="E29" s="316">
        <f t="shared" si="0"/>
        <v>4000</v>
      </c>
      <c r="F29" s="314"/>
      <c r="G29" s="318">
        <f ca="1">DATA!$D$11/1000000</f>
        <v>8.4993110699999999E-2</v>
      </c>
      <c r="H29" s="318">
        <f>C29*DATA!$D$5/1000000</f>
        <v>5.2038002202556042</v>
      </c>
      <c r="I29" s="318">
        <f>(C29*DATA!$D$5*DATA!$D$7)/1000000</f>
        <v>0.11708550495575108</v>
      </c>
      <c r="J29" s="316">
        <f t="shared" ca="1" si="1"/>
        <v>5.4058788359113557</v>
      </c>
      <c r="K29" s="314"/>
      <c r="L29" s="316">
        <f>((D29*DATA!$D$23)/1000000)+((E29*DATA!$D$24)/1000000)</f>
        <v>6.9345600000000003</v>
      </c>
      <c r="M29" s="316">
        <f t="shared" si="2"/>
        <v>6.9345600000000003</v>
      </c>
      <c r="N29" s="316">
        <f t="shared" ca="1" si="6"/>
        <v>1.5286811640886446</v>
      </c>
      <c r="O29" s="315">
        <f>1/(1+'[92]Asumsi I'!$C$3)^(KKF!A29)</f>
        <v>8.2642510427844609E-2</v>
      </c>
      <c r="P29" s="316">
        <f t="shared" ca="1" si="7"/>
        <v>0.12633404904404544</v>
      </c>
      <c r="Q29" s="316">
        <f t="shared" ca="1" si="9"/>
        <v>17.310523025469763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4800</v>
      </c>
      <c r="D30" s="316">
        <f t="shared" si="5"/>
        <v>800</v>
      </c>
      <c r="E30" s="316">
        <f t="shared" si="0"/>
        <v>4000</v>
      </c>
      <c r="F30" s="314"/>
      <c r="G30" s="318">
        <f ca="1">DATA!$D$11/1000000</f>
        <v>8.4993110699999999E-2</v>
      </c>
      <c r="H30" s="318">
        <f>C30*DATA!$D$5/1000000</f>
        <v>5.2038002202556042</v>
      </c>
      <c r="I30" s="318">
        <f>(C30*DATA!$D$5*DATA!$D$7)/1000000</f>
        <v>0.11708550495575108</v>
      </c>
      <c r="J30" s="316">
        <f t="shared" ca="1" si="1"/>
        <v>5.4058788359113557</v>
      </c>
      <c r="K30" s="314"/>
      <c r="L30" s="316">
        <f>((D30*DATA!$D$23)/1000000)+((E30*DATA!$D$24)/1000000)</f>
        <v>6.9345600000000003</v>
      </c>
      <c r="M30" s="316">
        <f t="shared" si="2"/>
        <v>6.9345600000000003</v>
      </c>
      <c r="N30" s="316">
        <f t="shared" ca="1" si="6"/>
        <v>1.5286811640886446</v>
      </c>
      <c r="O30" s="315">
        <f>1/(1+'[92]Asumsi I'!$C$3)^(KKF!A30)</f>
        <v>7.3787955739146982E-2</v>
      </c>
      <c r="P30" s="316">
        <f t="shared" ca="1" si="7"/>
        <v>0.1127982580750406</v>
      </c>
      <c r="Q30" s="316">
        <f t="shared" ca="1" si="9"/>
        <v>17.423321283544805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4800</v>
      </c>
      <c r="D31" s="316">
        <f t="shared" si="5"/>
        <v>800</v>
      </c>
      <c r="E31" s="316">
        <f t="shared" si="0"/>
        <v>4000</v>
      </c>
      <c r="F31" s="314"/>
      <c r="G31" s="318">
        <f ca="1">DATA!$D$11/1000000</f>
        <v>8.4993110699999999E-2</v>
      </c>
      <c r="H31" s="318">
        <f>C31*DATA!$D$5/1000000</f>
        <v>5.2038002202556042</v>
      </c>
      <c r="I31" s="318">
        <f>(C31*DATA!$D$5*DATA!$D$7)/1000000</f>
        <v>0.11708550495575108</v>
      </c>
      <c r="J31" s="316">
        <f t="shared" ca="1" si="1"/>
        <v>5.4058788359113557</v>
      </c>
      <c r="K31" s="314"/>
      <c r="L31" s="316">
        <f>((D31*DATA!$D$23)/1000000)+((E31*DATA!$D$24)/1000000)</f>
        <v>6.9345600000000003</v>
      </c>
      <c r="M31" s="316">
        <f t="shared" si="2"/>
        <v>6.9345600000000003</v>
      </c>
      <c r="N31" s="316">
        <f t="shared" ca="1" si="6"/>
        <v>1.5286811640886446</v>
      </c>
      <c r="O31" s="315">
        <f>1/(1+'[92]Asumsi I'!$C$3)^(KKF!A31)</f>
        <v>6.5882103338524081E-2</v>
      </c>
      <c r="P31" s="316">
        <f t="shared" ca="1" si="7"/>
        <v>0.10071273042414337</v>
      </c>
      <c r="Q31" s="316">
        <f ca="1">Q30+P31</f>
        <v>17.524034013968947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4800</v>
      </c>
      <c r="D32" s="316">
        <f t="shared" si="5"/>
        <v>800</v>
      </c>
      <c r="E32" s="316">
        <f t="shared" si="0"/>
        <v>4000</v>
      </c>
      <c r="F32" s="314"/>
      <c r="G32" s="318">
        <f ca="1">DATA!$D$11/1000000</f>
        <v>8.4993110699999999E-2</v>
      </c>
      <c r="H32" s="318">
        <f>C32*DATA!$D$5/1000000</f>
        <v>5.2038002202556042</v>
      </c>
      <c r="I32" s="318">
        <f>(C32*DATA!$D$5*DATA!$D$7)/1000000</f>
        <v>0.11708550495575108</v>
      </c>
      <c r="J32" s="316">
        <f t="shared" ca="1" si="1"/>
        <v>5.4058788359113557</v>
      </c>
      <c r="K32" s="314"/>
      <c r="L32" s="316">
        <f>((D32*DATA!$D$23)/1000000)+((E32*DATA!$D$24)/1000000)</f>
        <v>6.9345600000000003</v>
      </c>
      <c r="M32" s="316">
        <f t="shared" si="2"/>
        <v>6.9345600000000003</v>
      </c>
      <c r="N32" s="316">
        <f t="shared" ca="1" si="6"/>
        <v>1.5286811640886446</v>
      </c>
      <c r="O32" s="315">
        <f>1/(1+'[92]Asumsi I'!$C$3)^(KKF!A32)</f>
        <v>5.8823306552253637E-2</v>
      </c>
      <c r="P32" s="316">
        <f t="shared" ca="1" si="7"/>
        <v>8.9922080735842291E-2</v>
      </c>
      <c r="Q32" s="316">
        <f ca="1">Q31+P32</f>
        <v>17.61395609470479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597" t="s">
        <v>1374</v>
      </c>
      <c r="G33" s="597"/>
      <c r="H33" s="597"/>
      <c r="I33" s="324"/>
      <c r="J33" s="325">
        <f ca="1">SUM(J7:J32)</f>
        <v>140.36843383101905</v>
      </c>
      <c r="K33" s="597" t="s">
        <v>1375</v>
      </c>
      <c r="L33" s="597"/>
      <c r="M33" s="325">
        <f>SUM(M7:M32)</f>
        <v>184.20976000000007</v>
      </c>
      <c r="N33" s="323"/>
      <c r="O33" s="323"/>
      <c r="P33" s="326"/>
      <c r="Q33" s="326"/>
      <c r="S33" s="304">
        <f ca="1">COUNTIF(S7:S32,"a")</f>
        <v>0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3.4156651209528772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1.3123303792201522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15.726746513129273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</sheetPr>
  <dimension ref="A1:V51"/>
  <sheetViews>
    <sheetView showGridLines="0" zoomScale="80" zoomScaleNormal="80" zoomScaleSheetLayoutView="70" workbookViewId="0">
      <pane ySplit="13" topLeftCell="A14" activePane="bottomLeft" state="frozen"/>
      <selection activeCell="H1093" sqref="H1093"/>
      <selection pane="bottomLeft" activeCell="F23" sqref="F23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00" t="s">
        <v>1036</v>
      </c>
      <c r="P3" s="600"/>
      <c r="Q3" s="346"/>
      <c r="T3" s="344"/>
      <c r="U3" s="345" t="s">
        <v>1041</v>
      </c>
      <c r="V3" s="344"/>
    </row>
    <row r="4" spans="1:22" ht="18.75">
      <c r="B4" s="601" t="s">
        <v>1023</v>
      </c>
      <c r="C4" s="601"/>
      <c r="D4" s="601"/>
      <c r="E4" s="601"/>
      <c r="F4" s="601"/>
      <c r="G4" s="601"/>
      <c r="H4" s="601"/>
      <c r="I4" s="601"/>
      <c r="J4" s="601"/>
      <c r="K4" s="601"/>
      <c r="O4" s="600"/>
      <c r="P4" s="600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7" t="str">
        <f>DATA!D14</f>
        <v>PUSKESMAS GABUS 1</v>
      </c>
      <c r="H6" s="618"/>
      <c r="I6" s="618"/>
      <c r="J6" s="618"/>
      <c r="K6" s="618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1619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03" t="s">
        <v>0</v>
      </c>
      <c r="C11" s="605" t="s">
        <v>1</v>
      </c>
      <c r="D11" s="608" t="s">
        <v>42</v>
      </c>
      <c r="E11" s="608" t="s">
        <v>43</v>
      </c>
      <c r="F11" s="608" t="s">
        <v>2</v>
      </c>
      <c r="G11" s="610" t="s">
        <v>41</v>
      </c>
      <c r="H11" s="608" t="s">
        <v>3</v>
      </c>
      <c r="I11" s="608"/>
      <c r="J11" s="608"/>
      <c r="K11" s="628"/>
      <c r="O11" s="351"/>
      <c r="P11" s="352"/>
      <c r="Q11" s="351"/>
      <c r="S11" s="353"/>
      <c r="T11" s="354"/>
      <c r="U11" s="354"/>
      <c r="V11" s="354"/>
    </row>
    <row r="12" spans="1:22">
      <c r="B12" s="604"/>
      <c r="C12" s="606"/>
      <c r="D12" s="609"/>
      <c r="E12" s="609"/>
      <c r="F12" s="609"/>
      <c r="G12" s="611"/>
      <c r="H12" s="613" t="s">
        <v>46</v>
      </c>
      <c r="I12" s="613" t="s">
        <v>5</v>
      </c>
      <c r="J12" s="609" t="s">
        <v>47</v>
      </c>
      <c r="K12" s="629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04"/>
      <c r="C13" s="607"/>
      <c r="D13" s="609"/>
      <c r="E13" s="609"/>
      <c r="F13" s="609"/>
      <c r="G13" s="612"/>
      <c r="H13" s="614"/>
      <c r="I13" s="614"/>
      <c r="J13" s="609"/>
      <c r="K13" s="629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86" t="s">
        <v>480</v>
      </c>
      <c r="C15" s="498" t="s">
        <v>1611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472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29" ca="1" si="4">IF(OR(D15="MDU",D15="MDU-KD"),(IF($O$3="RAB NON MDU","PLN KD",G15*F15)),0)</f>
        <v>0</v>
      </c>
      <c r="I15" s="361">
        <f t="shared" ref="I15:I29" ca="1" si="5">IF(D15="HDW",G15*F15,0)</f>
        <v>0</v>
      </c>
      <c r="J15" s="361">
        <f t="shared" ref="J15:J29" ca="1" si="6">IF(D15="JASA",G15*F15,0)</f>
        <v>0</v>
      </c>
      <c r="K15" s="362">
        <f t="shared" ref="K15:K29" ca="1" si="7">SUM(H15:J15)</f>
        <v>0</v>
      </c>
    </row>
    <row r="16" spans="1:22">
      <c r="B16" s="486"/>
      <c r="C16" s="498"/>
      <c r="D16" s="358"/>
      <c r="E16" s="359"/>
      <c r="F16" s="472"/>
      <c r="G16" s="360"/>
      <c r="H16" s="361"/>
      <c r="I16" s="361"/>
      <c r="J16" s="361"/>
      <c r="K16" s="362"/>
    </row>
    <row r="17" spans="2:11">
      <c r="B17" s="486" t="s">
        <v>1035</v>
      </c>
      <c r="C17" s="487" t="s">
        <v>1620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701">
        <v>1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4"/>
        <v>0</v>
      </c>
      <c r="I17" s="361">
        <f t="shared" ca="1" si="5"/>
        <v>0</v>
      </c>
      <c r="J17" s="361">
        <f t="shared" ca="1" si="6"/>
        <v>0</v>
      </c>
      <c r="K17" s="362">
        <f t="shared" ca="1" si="7"/>
        <v>0</v>
      </c>
    </row>
    <row r="18" spans="2:11" ht="30">
      <c r="B18" s="699">
        <v>1</v>
      </c>
      <c r="C18" s="490" t="s">
        <v>1197</v>
      </c>
      <c r="D18" s="358" t="s">
        <v>1621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701">
        <f>F17*1</f>
        <v>1</v>
      </c>
      <c r="G18" s="360">
        <f ca="1">IF(ISERROR(OFFSET('HARGA SATUAN'!$I$6,MATCH(RAB!C18,'HARGA SATUAN'!$C$7:$C$1492,0),0)),0,OFFSET('HARGA SATUAN'!$I$6,MATCH(RAB!C18,'HARGA SATUAN'!$C$7:$C$1492,0),0))</f>
        <v>1427400</v>
      </c>
      <c r="H18" s="361">
        <f t="shared" si="4"/>
        <v>0</v>
      </c>
      <c r="I18" s="361">
        <f t="shared" si="5"/>
        <v>0</v>
      </c>
      <c r="J18" s="361">
        <f t="shared" si="6"/>
        <v>0</v>
      </c>
      <c r="K18" s="362">
        <f t="shared" si="7"/>
        <v>0</v>
      </c>
    </row>
    <row r="19" spans="2:11">
      <c r="B19" s="699">
        <v>2</v>
      </c>
      <c r="C19" s="700" t="s">
        <v>513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701">
        <f>F17*1</f>
        <v>1</v>
      </c>
      <c r="G19" s="360">
        <f ca="1">IF(ISERROR(OFFSET('HARGA SATUAN'!$I$6,MATCH(RAB!C19,'HARGA SATUAN'!$C$7:$C$1492,0),0)),0,OFFSET('HARGA SATUAN'!$I$6,MATCH(RAB!C19,'HARGA SATUAN'!$C$7:$C$1492,0),0))</f>
        <v>3564900</v>
      </c>
      <c r="H19" s="361">
        <f t="shared" ref="H19:H28" ca="1" si="8">IF(OR(D19="MDU",D19="MDU-KD"),(IF($O$3="RAB NON MDU","PLN KD",G19*F19)),0)</f>
        <v>3564900</v>
      </c>
      <c r="I19" s="361">
        <f t="shared" ref="I19:I28" ca="1" si="9">IF(D19="HDW",G19*F19,0)</f>
        <v>0</v>
      </c>
      <c r="J19" s="361">
        <f t="shared" ref="J19:J28" ca="1" si="10">IF(D19="JASA",G19*F19,0)</f>
        <v>0</v>
      </c>
      <c r="K19" s="362">
        <f t="shared" ref="K19:K28" ca="1" si="11">SUM(H19:J19)</f>
        <v>3564900</v>
      </c>
    </row>
    <row r="20" spans="2:11">
      <c r="B20" s="699">
        <v>3</v>
      </c>
      <c r="C20" s="700" t="s">
        <v>1142</v>
      </c>
      <c r="D20" s="358" t="s">
        <v>1621</v>
      </c>
      <c r="E20" s="359" t="str">
        <f ca="1">IF(B20="+","Unit",IF(ISERROR(OFFSET('HARGA SATUAN'!$E$6,MATCH(RAB!C20,'HARGA SATUAN'!$C$7:$C$1492,0),0)),"",OFFSET('HARGA SATUAN'!$E$6,MATCH(RAB!C20,'HARGA SATUAN'!$C$7:$C$1492,0),0)))</f>
        <v>Unit</v>
      </c>
      <c r="F20" s="701">
        <f>F17*1</f>
        <v>1</v>
      </c>
      <c r="G20" s="360">
        <f ca="1">IF(ISERROR(OFFSET('HARGA SATUAN'!$I$6,MATCH(RAB!C20,'HARGA SATUAN'!$C$7:$C$1492,0),0)),0,OFFSET('HARGA SATUAN'!$I$6,MATCH(RAB!C20,'HARGA SATUAN'!$C$7:$C$1492,0),0))</f>
        <v>1113900</v>
      </c>
      <c r="H20" s="361">
        <f t="shared" si="8"/>
        <v>0</v>
      </c>
      <c r="I20" s="361">
        <f t="shared" si="9"/>
        <v>0</v>
      </c>
      <c r="J20" s="361">
        <f t="shared" si="10"/>
        <v>0</v>
      </c>
      <c r="K20" s="362">
        <f t="shared" si="11"/>
        <v>0</v>
      </c>
    </row>
    <row r="21" spans="2:11">
      <c r="B21" s="699">
        <v>4</v>
      </c>
      <c r="C21" s="700" t="s">
        <v>573</v>
      </c>
      <c r="D21" s="358" t="s">
        <v>1621</v>
      </c>
      <c r="E21" s="359" t="str">
        <f ca="1">IF(B21="+","Unit",IF(ISERROR(OFFSET('HARGA SATUAN'!$E$6,MATCH(RAB!C21,'HARGA SATUAN'!$C$7:$C$1492,0),0)),"",OFFSET('HARGA SATUAN'!$E$6,MATCH(RAB!C21,'HARGA SATUAN'!$C$7:$C$1492,0),0)))</f>
        <v>Mtr</v>
      </c>
      <c r="F21" s="701">
        <f>F17*35</f>
        <v>35</v>
      </c>
      <c r="G21" s="360">
        <f ca="1">IF(ISERROR(OFFSET('HARGA SATUAN'!$I$6,MATCH(RAB!C21,'HARGA SATUAN'!$C$7:$C$1492,0),0)),0,OFFSET('HARGA SATUAN'!$I$6,MATCH(RAB!C21,'HARGA SATUAN'!$C$7:$C$1492,0),0))</f>
        <v>164883</v>
      </c>
      <c r="H21" s="361">
        <f t="shared" ref="H21:H22" si="12">IF(OR(D21="MDU",D21="MDU-KD"),(IF($O$3="RAB NON MDU","PLN KD",G21*F21)),0)</f>
        <v>0</v>
      </c>
      <c r="I21" s="361">
        <f t="shared" ref="I21:I22" si="13">IF(D21="HDW",G21*F21,0)</f>
        <v>0</v>
      </c>
      <c r="J21" s="361">
        <f t="shared" ref="J21:J22" si="14">IF(D21="JASA",G21*F21,0)</f>
        <v>0</v>
      </c>
      <c r="K21" s="362">
        <f t="shared" ref="K21:K22" si="15">SUM(H21:J21)</f>
        <v>0</v>
      </c>
    </row>
    <row r="22" spans="2:11">
      <c r="B22" s="699">
        <v>5</v>
      </c>
      <c r="C22" s="700" t="s">
        <v>799</v>
      </c>
      <c r="D22" s="358" t="str">
        <f ca="1">IF(ISERROR(OFFSET('HARGA SATUAN'!$D$6,MATCH(RAB!C22,'HARGA SATUAN'!$C$7:$C$1492,0),0)),"",OFFSET('HARGA SATUAN'!$D$6,MATCH(RAB!C22,'HARGA SATUAN'!$C$7:$C$1492,0),0))</f>
        <v>JASA</v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701">
        <f>F17*1</f>
        <v>1</v>
      </c>
      <c r="G22" s="360">
        <f ca="1">IF(ISERROR(OFFSET('HARGA SATUAN'!$I$6,MATCH(RAB!C22,'HARGA SATUAN'!$C$7:$C$1492,0),0)),0,OFFSET('HARGA SATUAN'!$I$6,MATCH(RAB!C22,'HARGA SATUAN'!$C$7:$C$1492,0),0))</f>
        <v>106400</v>
      </c>
      <c r="H22" s="361">
        <f t="shared" ca="1" si="12"/>
        <v>0</v>
      </c>
      <c r="I22" s="361">
        <f t="shared" ca="1" si="13"/>
        <v>0</v>
      </c>
      <c r="J22" s="361">
        <f t="shared" ca="1" si="14"/>
        <v>106400</v>
      </c>
      <c r="K22" s="362">
        <f t="shared" ca="1" si="15"/>
        <v>106400</v>
      </c>
    </row>
    <row r="23" spans="2:11">
      <c r="B23" s="699"/>
      <c r="C23" s="700"/>
      <c r="D23" s="358"/>
      <c r="E23" s="359"/>
      <c r="F23" s="701"/>
      <c r="G23" s="360"/>
      <c r="H23" s="361"/>
      <c r="I23" s="361"/>
      <c r="J23" s="361"/>
      <c r="K23" s="362"/>
    </row>
    <row r="24" spans="2:11">
      <c r="B24" s="486" t="s">
        <v>505</v>
      </c>
      <c r="C24" s="498" t="s">
        <v>1615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/>
      </c>
      <c r="F24" s="501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8"/>
        <v>0</v>
      </c>
      <c r="I24" s="361">
        <f t="shared" ca="1" si="9"/>
        <v>0</v>
      </c>
      <c r="J24" s="361">
        <f t="shared" ca="1" si="10"/>
        <v>0</v>
      </c>
      <c r="K24" s="362">
        <f t="shared" ca="1" si="11"/>
        <v>0</v>
      </c>
    </row>
    <row r="25" spans="2:11">
      <c r="B25" s="499"/>
      <c r="C25" s="500"/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/>
      </c>
      <c r="F25" s="501"/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8"/>
        <v>0</v>
      </c>
      <c r="I25" s="361">
        <f t="shared" ca="1" si="9"/>
        <v>0</v>
      </c>
      <c r="J25" s="361">
        <f t="shared" ca="1" si="10"/>
        <v>0</v>
      </c>
      <c r="K25" s="362">
        <f t="shared" ca="1" si="11"/>
        <v>0</v>
      </c>
    </row>
    <row r="26" spans="2:11">
      <c r="B26" s="502">
        <v>1</v>
      </c>
      <c r="C26" s="503" t="s">
        <v>982</v>
      </c>
      <c r="D26" s="358" t="str">
        <f ca="1">IF(ISERROR(OFFSET('HARGA SATUAN'!$D$6,MATCH(RAB!C26,'HARGA SATUAN'!$C$7:$C$1492,0),0)),"",OFFSET('HARGA SATUAN'!$D$6,MATCH(RAB!C26,'HARGA SATUAN'!$C$7:$C$1492,0),0))</f>
        <v>JASA</v>
      </c>
      <c r="E26" s="359" t="str">
        <f ca="1">IF(B26="+","Unit",IF(ISERROR(OFFSET('HARGA SATUAN'!$E$6,MATCH(RAB!C26,'HARGA SATUAN'!$C$7:$C$1492,0),0)),"",OFFSET('HARGA SATUAN'!$E$6,MATCH(RAB!C26,'HARGA SATUAN'!$C$7:$C$1492,0),0)))</f>
        <v>Unit</v>
      </c>
      <c r="F26" s="501">
        <v>1</v>
      </c>
      <c r="G26" s="360">
        <f ca="1">IF(ISERROR(OFFSET('HARGA SATUAN'!$I$6,MATCH(RAB!C26,'HARGA SATUAN'!$C$7:$C$1492,0),0)),0,OFFSET('HARGA SATUAN'!$I$6,MATCH(RAB!C26,'HARGA SATUAN'!$C$7:$C$1492,0),0))</f>
        <v>63840</v>
      </c>
      <c r="H26" s="361">
        <f t="shared" ca="1" si="8"/>
        <v>0</v>
      </c>
      <c r="I26" s="361">
        <f t="shared" ca="1" si="9"/>
        <v>0</v>
      </c>
      <c r="J26" s="361">
        <f t="shared" ca="1" si="10"/>
        <v>63840</v>
      </c>
      <c r="K26" s="362">
        <f t="shared" ca="1" si="11"/>
        <v>63840</v>
      </c>
    </row>
    <row r="27" spans="2:11">
      <c r="B27" s="499"/>
      <c r="C27" s="500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501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8"/>
        <v>0</v>
      </c>
      <c r="I27" s="361">
        <f t="shared" ca="1" si="9"/>
        <v>0</v>
      </c>
      <c r="J27" s="361">
        <f t="shared" ca="1" si="10"/>
        <v>0</v>
      </c>
      <c r="K27" s="362">
        <f t="shared" ca="1" si="11"/>
        <v>0</v>
      </c>
    </row>
    <row r="28" spans="2:11">
      <c r="B28" s="486"/>
      <c r="C28" s="487"/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497"/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8"/>
        <v>0</v>
      </c>
      <c r="I28" s="361">
        <f t="shared" ca="1" si="9"/>
        <v>0</v>
      </c>
      <c r="J28" s="361">
        <f t="shared" ca="1" si="10"/>
        <v>0</v>
      </c>
      <c r="K28" s="362">
        <f t="shared" ca="1" si="11"/>
        <v>0</v>
      </c>
    </row>
    <row r="29" spans="2:11">
      <c r="B29" s="367"/>
      <c r="C29" s="109"/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472"/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4"/>
        <v>0</v>
      </c>
      <c r="I29" s="361">
        <f t="shared" ca="1" si="5"/>
        <v>0</v>
      </c>
      <c r="J29" s="361">
        <f t="shared" ca="1" si="6"/>
        <v>0</v>
      </c>
      <c r="K29" s="362">
        <f t="shared" ca="1" si="7"/>
        <v>0</v>
      </c>
    </row>
    <row r="30" spans="2:11">
      <c r="B30" s="368"/>
      <c r="C30" s="369" t="s">
        <v>475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472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ref="H30" ca="1" si="16">IF(OR(D30="MDU",D30="MDU-KD"),(IF($O$3="RAB NON MDU","PLN KD",G30*F30)),0)</f>
        <v>0</v>
      </c>
      <c r="I30" s="361">
        <f t="shared" ref="I30" ca="1" si="17">IF(D30="HDW",G30*F30,0)</f>
        <v>0</v>
      </c>
      <c r="J30" s="361">
        <f t="shared" ref="J30" ca="1" si="18">IF(D30="JASA",G30*F30,0)</f>
        <v>0</v>
      </c>
      <c r="K30" s="362">
        <f t="shared" ref="K30" ca="1" si="19">SUM(H30:J30)</f>
        <v>0</v>
      </c>
    </row>
    <row r="31" spans="2:11">
      <c r="B31" s="371">
        <v>1</v>
      </c>
      <c r="C31" s="372" t="s">
        <v>1091</v>
      </c>
      <c r="D31" s="373" t="str">
        <f ca="1">IF(ISERROR(OFFSET('HARGA SATUAN'!$D$6,MATCH(RAB!C31,'HARGA SATUAN'!$C$7:$C$1492,0),0)),"",OFFSET('HARGA SATUAN'!$D$6,MATCH(RAB!C31,'HARGA SATUAN'!$C$7:$C$1492,0),0))</f>
        <v>JASA</v>
      </c>
      <c r="E31" s="374" t="str">
        <f ca="1">IF(ISERROR(OFFSET('HARGA SATUAN'!$E$6,MATCH(RAB!C31,'HARGA SATUAN'!$C$7:$C$1492,0),0)),"",OFFSET('HARGA SATUAN'!$E$6,MATCH(RAB!C31,'HARGA SATUAN'!$C$7:$C$1492,0),0))</f>
        <v>Lot</v>
      </c>
      <c r="F31" s="375">
        <v>1</v>
      </c>
      <c r="G31" s="376">
        <f ca="1">IF(ISERROR(OFFSET('HARGA SATUAN'!$I$6,MATCH(RAB!C31,'HARGA SATUAN'!$C$7:$C$1492,0),0)),0,OFFSET('HARGA SATUAN'!$I$6,MATCH(RAB!C31,'HARGA SATUAN'!$C$7:$C$1492,0),0))</f>
        <v>2.5000000000000001E-2</v>
      </c>
      <c r="H31" s="377"/>
      <c r="I31" s="377"/>
      <c r="J31" s="377">
        <f ca="1">2.5%*(SUM(K14:K30))</f>
        <v>93378.5</v>
      </c>
      <c r="K31" s="378">
        <f ca="1">SUM(H31:J31)</f>
        <v>93378.5</v>
      </c>
    </row>
    <row r="32" spans="2:11">
      <c r="B32" s="379"/>
      <c r="C32" s="380"/>
      <c r="D32" s="358" t="str">
        <f ca="1">IF(ISERROR(OFFSET('HARGA SATUAN'!$D$6,MATCH(RAB!C32,'HARGA SATUAN'!$C$7:$C$1492,0),0)),"",OFFSET('HARGA SATUAN'!$D$6,MATCH(RAB!C32,'HARGA SATUAN'!$C$7:$C$1492,0),0))</f>
        <v/>
      </c>
      <c r="E32" s="359" t="str">
        <f ca="1">IF(ISERROR(OFFSET('HARGA SATUAN'!$E$6,MATCH(RAB!C32,'HARGA SATUAN'!$C$7:$C$1492,0),0)),"",OFFSET('HARGA SATUAN'!$E$6,MATCH(RAB!C32,'HARGA SATUAN'!$C$7:$C$1492,0),0))</f>
        <v/>
      </c>
      <c r="F32" s="370"/>
      <c r="G32" s="360" t="str">
        <f ca="1">IF(ISERROR(OFFSET('HARGA SATUAN'!$I$6,MATCH(RAB!C32,'HARGA SATUAN'!$C$7:$C$1492,0),0)),"",OFFSET('HARGA SATUAN'!$I$6,MATCH(RAB!C32,'HARGA SATUAN'!$C$7:$C$1492,0),0))</f>
        <v/>
      </c>
      <c r="H32" s="361">
        <f ca="1">IF(OR(D32="MDU",D32="MDU-KD"),IF(G32="PLN",0,G32*F32),0)</f>
        <v>0</v>
      </c>
      <c r="I32" s="361">
        <f ca="1">IF(D32="HDW",IF(G32="PLN",0,G32*F32),0)</f>
        <v>0</v>
      </c>
      <c r="J32" s="361">
        <f ca="1">IF(D32="JASA",IF(G32="PLN",0,G32*F32),0)</f>
        <v>0</v>
      </c>
      <c r="K32" s="362">
        <f ca="1">SUM(H32:J32)</f>
        <v>0</v>
      </c>
    </row>
    <row r="33" spans="2:13" ht="15.75" thickBot="1">
      <c r="B33" s="381"/>
      <c r="C33" s="382"/>
      <c r="D33" s="383"/>
      <c r="E33" s="384"/>
      <c r="F33" s="384"/>
      <c r="G33" s="384"/>
      <c r="H33" s="385"/>
      <c r="I33" s="385"/>
      <c r="J33" s="385"/>
      <c r="K33" s="386"/>
    </row>
    <row r="34" spans="2:13">
      <c r="B34" s="387"/>
      <c r="C34" s="602" t="s">
        <v>1008</v>
      </c>
      <c r="D34" s="602"/>
      <c r="E34" s="602"/>
      <c r="F34" s="602"/>
      <c r="G34" s="388" t="s">
        <v>9</v>
      </c>
      <c r="H34" s="389">
        <f ca="1">SUM(H14:H32)</f>
        <v>3564900</v>
      </c>
      <c r="I34" s="389">
        <f ca="1">SUM(I14:I32)</f>
        <v>0</v>
      </c>
      <c r="J34" s="389">
        <f ca="1">SUM(J14:J32)</f>
        <v>263618.5</v>
      </c>
      <c r="K34" s="389">
        <f ca="1">SUM(K14:K32)</f>
        <v>3828518.5</v>
      </c>
    </row>
    <row r="35" spans="2:13">
      <c r="B35" s="390"/>
      <c r="C35" s="619" t="s">
        <v>1457</v>
      </c>
      <c r="D35" s="619"/>
      <c r="E35" s="619"/>
      <c r="F35" s="619"/>
      <c r="G35" s="391" t="s">
        <v>9</v>
      </c>
      <c r="H35" s="392">
        <f ca="1">H34*0.11</f>
        <v>392139</v>
      </c>
      <c r="I35" s="392">
        <f ca="1">I34*0.11</f>
        <v>0</v>
      </c>
      <c r="J35" s="392">
        <f ca="1">J34*0.11</f>
        <v>28998.035</v>
      </c>
      <c r="K35" s="392">
        <f ca="1">K34*0.11</f>
        <v>421137.03499999997</v>
      </c>
    </row>
    <row r="36" spans="2:13" ht="15.75" thickBot="1">
      <c r="B36" s="390"/>
      <c r="C36" s="616" t="s">
        <v>463</v>
      </c>
      <c r="D36" s="616"/>
      <c r="E36" s="616"/>
      <c r="F36" s="616"/>
      <c r="G36" s="393" t="s">
        <v>9</v>
      </c>
      <c r="H36" s="394">
        <f ca="1">SUM(H34:H35)</f>
        <v>3957039</v>
      </c>
      <c r="I36" s="394">
        <f ca="1">SUM(I34:I35)</f>
        <v>0</v>
      </c>
      <c r="J36" s="393">
        <f ca="1">SUM(J34:J35)</f>
        <v>292616.53499999997</v>
      </c>
      <c r="K36" s="393">
        <f ca="1">SUM(K34:K35)</f>
        <v>4249655.5350000001</v>
      </c>
      <c r="M36" s="477"/>
    </row>
    <row r="37" spans="2:13">
      <c r="B37" s="620" t="str">
        <f ca="1">"Terbilang : "&amp;PROPER(IF(K36=0,"nol",IF(K36&lt;0,"minus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IF(--MID(TEXT(ABS(K36),"000000000000000"),1,3)=0,"",MID(TEXT(ABS(K36),"000000000000000"),1,1)&amp;" ratus "&amp;MID(TEXT(ABS(K36),"000000000000000"),2,1)&amp;" puluh "&amp;MID(TEXT(ABS(K36),"000000000000000"),3,1)&amp;" trilyun ")&amp; IF(--MID(TEXT(ABS(K36),"000000000000000"),4,3)=0,"",MID(TEXT(ABS(K36),"000000000000000"),4,1)&amp;" ratus "&amp;MID(TEXT(ABS(K36),"000000000000000"),5,1)&amp;" puluh "&amp;MID(TEXT(ABS(K36),"000000000000000"),6,1)&amp;" milyar ")&amp; IF(--MID(TEXT(ABS(K36),"000000000000000"),7,3)=0,"",MID(TEXT(ABS(K36),"000000000000000"),7,1)&amp;" ratus "&amp;MID(TEXT(ABS(K36),"000000000000000"),8,1)&amp;" puluh "&amp;MID(TEXT(ABS(K36),"000000000000000"),9,1)&amp;" juta ")&amp; IF(--MID(TEXT(ABS(K36),"000000000000000"),10,3)=0,"",IF(--MID(TEXT(ABS(K36),"000000000000000"),10,3)=1,"*",MID(TEXT(ABS(K36),"000000000000000"),10,1)&amp;" ratus "&amp;MID(TEXT(ABS(K36),"000000000000000"),11,1)&amp;" puluh ")&amp;MID(TEXT(ABS(K36),"000000000000000"),12,1)&amp;" ribu ")&amp; IF(--MID(TEXT(ABS(K36),"000000000000000"),13,3)=0,"",MID(TEXT(ABS(K36),"000000000000000"),13,1)&amp;" ratus "&amp;MID(TEXT(ABS(K36),"000000000000000"),14,1)&amp;" puluh "&amp;MID(TEXT(ABS(K36),"000000000000000"),15,1)),1,"satu"),2,"dua"),3,"tiga"),4,"empat"),5,"lima"),6,"enam"),7,"tujuh"),8,"delapan"),9,"sembilan"),"0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Juta Dua Ratus Empat Puluh Sembilan Ribu Enam Ratus Lima Puluh Enam Rupiah</v>
      </c>
      <c r="C37" s="621"/>
      <c r="D37" s="621"/>
      <c r="E37" s="621"/>
      <c r="F37" s="621"/>
      <c r="G37" s="621"/>
      <c r="H37" s="621"/>
      <c r="I37" s="621"/>
      <c r="J37" s="621"/>
      <c r="K37" s="622"/>
    </row>
    <row r="38" spans="2:13">
      <c r="B38" s="623"/>
      <c r="C38" s="624"/>
      <c r="D38" s="624"/>
      <c r="E38" s="624"/>
      <c r="F38" s="624"/>
      <c r="G38" s="624"/>
      <c r="H38" s="624"/>
      <c r="I38" s="624"/>
      <c r="J38" s="624"/>
      <c r="K38" s="625"/>
    </row>
    <row r="39" spans="2:13" ht="15.75" thickBot="1">
      <c r="B39" s="395" t="str">
        <f>"Harga yang dipakai adalah "&amp;'HARGA SATUAN'!I5&amp;""</f>
        <v>Harga yang dipakai adalah RAB HSS 2023</v>
      </c>
      <c r="C39" s="396"/>
      <c r="D39" s="397"/>
      <c r="E39" s="397"/>
      <c r="F39" s="397"/>
      <c r="G39" s="398"/>
      <c r="H39" s="398"/>
      <c r="I39" s="398"/>
      <c r="J39" s="398"/>
      <c r="K39" s="399"/>
    </row>
    <row r="40" spans="2:13">
      <c r="C40" s="400"/>
      <c r="E40" s="402"/>
      <c r="F40" s="402"/>
      <c r="G40" s="402"/>
    </row>
    <row r="41" spans="2:13">
      <c r="C41" s="337"/>
      <c r="E41" s="402"/>
      <c r="F41" s="402"/>
      <c r="G41" s="402"/>
      <c r="H41" s="626"/>
      <c r="I41" s="626"/>
      <c r="J41" s="627"/>
      <c r="K41" s="627"/>
    </row>
    <row r="42" spans="2:13">
      <c r="C42" s="337"/>
      <c r="E42" s="402"/>
      <c r="F42" s="402"/>
      <c r="G42" s="402"/>
      <c r="H42" s="403"/>
      <c r="I42" s="615" t="s">
        <v>1616</v>
      </c>
      <c r="J42" s="615"/>
      <c r="K42" s="615"/>
    </row>
    <row r="43" spans="2:13">
      <c r="C43" s="337"/>
      <c r="E43" s="402"/>
      <c r="F43" s="402"/>
      <c r="G43" s="402"/>
      <c r="H43" s="403"/>
      <c r="I43" s="615" t="s">
        <v>1609</v>
      </c>
      <c r="J43" s="615"/>
      <c r="K43" s="615"/>
    </row>
    <row r="44" spans="2:13">
      <c r="C44" s="337"/>
      <c r="E44" s="402"/>
      <c r="F44" s="402"/>
      <c r="G44" s="402"/>
      <c r="H44" s="404"/>
      <c r="I44" s="405"/>
      <c r="J44" s="405"/>
      <c r="K44" s="405"/>
    </row>
    <row r="45" spans="2:13">
      <c r="C45" s="337"/>
      <c r="E45" s="402"/>
      <c r="F45" s="402"/>
      <c r="G45" s="402"/>
      <c r="H45" s="404"/>
      <c r="I45" s="404"/>
      <c r="J45" s="404"/>
      <c r="K45" s="404"/>
    </row>
    <row r="46" spans="2:13">
      <c r="C46" s="337"/>
      <c r="E46" s="402"/>
      <c r="F46" s="402"/>
      <c r="G46" s="402"/>
      <c r="H46" s="404"/>
      <c r="I46" s="404"/>
      <c r="J46" s="404"/>
      <c r="K46" s="404"/>
    </row>
    <row r="47" spans="2:13">
      <c r="C47" s="337"/>
      <c r="E47" s="402"/>
      <c r="F47" s="402"/>
      <c r="G47" s="402"/>
      <c r="H47" s="404"/>
      <c r="I47" s="404"/>
      <c r="J47" s="404"/>
      <c r="K47" s="404"/>
    </row>
    <row r="48" spans="2:13">
      <c r="C48" s="337"/>
      <c r="E48" s="402"/>
      <c r="F48" s="402"/>
      <c r="G48" s="402"/>
      <c r="H48" s="406"/>
      <c r="I48" s="615" t="s">
        <v>1610</v>
      </c>
      <c r="J48" s="615"/>
      <c r="K48" s="615"/>
    </row>
    <row r="49" spans="3:11">
      <c r="C49" s="400"/>
      <c r="E49" s="402"/>
      <c r="F49" s="402"/>
      <c r="G49" s="402"/>
      <c r="H49" s="404"/>
      <c r="I49" s="404"/>
      <c r="J49" s="404"/>
      <c r="K49" s="404"/>
    </row>
    <row r="50" spans="3:11">
      <c r="C50" s="400"/>
      <c r="E50" s="402"/>
      <c r="F50" s="402"/>
      <c r="G50" s="402"/>
      <c r="H50" s="404"/>
      <c r="I50" s="404"/>
      <c r="J50" s="404"/>
      <c r="K50" s="404"/>
    </row>
    <row r="51" spans="3:11">
      <c r="C51" s="400"/>
      <c r="E51" s="402"/>
      <c r="F51" s="402"/>
      <c r="G51" s="402"/>
      <c r="H51" s="404"/>
      <c r="I51" s="404"/>
      <c r="J51" s="404"/>
      <c r="K51" s="404"/>
    </row>
  </sheetData>
  <sheetProtection sort="0" autoFilter="0"/>
  <protectedRanges>
    <protectedRange sqref="B29" name="Range1_1"/>
    <protectedRange sqref="F14" name="Range1_1_2_2"/>
    <protectedRange sqref="C29" name="Range1_1_3_12"/>
    <protectedRange sqref="B24:C24 B15:C16" name="Range1_6_2"/>
    <protectedRange sqref="B25:C25 B17:B23 B26 B27:C27" name="Range1_6_2_2"/>
    <protectedRange sqref="C17:C18" name="Range1_6_2_2_1"/>
    <protectedRange sqref="C19" name="Range1_6_2_2_2"/>
    <protectedRange sqref="C20:C23 C26" name="Range1_6_2_2_3"/>
    <protectedRange sqref="F17:F27" name="Range1_1_2_2_3_2"/>
  </protectedRanges>
  <mergeCells count="22">
    <mergeCell ref="I43:K43"/>
    <mergeCell ref="I48:K48"/>
    <mergeCell ref="C36:F36"/>
    <mergeCell ref="G6:K6"/>
    <mergeCell ref="I42:K42"/>
    <mergeCell ref="C35:F35"/>
    <mergeCell ref="B37:K38"/>
    <mergeCell ref="H41:K41"/>
    <mergeCell ref="H11:K11"/>
    <mergeCell ref="H12:H13"/>
    <mergeCell ref="J12:J13"/>
    <mergeCell ref="K12:K13"/>
    <mergeCell ref="O3:P4"/>
    <mergeCell ref="B4:K4"/>
    <mergeCell ref="C34:F34"/>
    <mergeCell ref="B11:B13"/>
    <mergeCell ref="C11:C13"/>
    <mergeCell ref="D11:D13"/>
    <mergeCell ref="E11:E13"/>
    <mergeCell ref="F11:F13"/>
    <mergeCell ref="G11:G13"/>
    <mergeCell ref="I12:I13"/>
  </mergeCells>
  <phoneticPr fontId="136" type="noConversion"/>
  <conditionalFormatting sqref="E29:K30 E15:K16 G17:K28 E17:E28">
    <cfRule type="cellIs" dxfId="9" priority="58" stopIfTrue="1" operator="equal">
      <formula>0</formula>
    </cfRule>
  </conditionalFormatting>
  <conditionalFormatting sqref="C29">
    <cfRule type="cellIs" dxfId="8" priority="77" operator="equal">
      <formula>0</formula>
    </cfRule>
  </conditionalFormatting>
  <conditionalFormatting sqref="E1:E3 G1:G13 E5:E13 H12:I12 O13 S14:V14 E31:G31 H31:K33 E32:H32 E33:F33">
    <cfRule type="cellIs" dxfId="7" priority="1059" stopIfTrue="1" operator="equal">
      <formula>0</formula>
    </cfRule>
  </conditionalFormatting>
  <conditionalFormatting sqref="E14:K14">
    <cfRule type="cellIs" dxfId="6" priority="27" stopIfTrue="1" operator="equal">
      <formula>0</formula>
    </cfRule>
  </conditionalFormatting>
  <conditionalFormatting sqref="G32:G65498 E37:E65498">
    <cfRule type="cellIs" dxfId="5" priority="193" stopIfTrue="1" operator="equal">
      <formula>0</formula>
    </cfRule>
  </conditionalFormatting>
  <conditionalFormatting sqref="F28">
    <cfRule type="cellIs" dxfId="4" priority="18" stopIfTrue="1" operator="equal">
      <formula>0</formula>
    </cfRule>
  </conditionalFormatting>
  <conditionalFormatting sqref="F24:F27">
    <cfRule type="cellIs" dxfId="3" priority="12" stopIfTrue="1" operator="equal">
      <formula>0</formula>
    </cfRule>
  </conditionalFormatting>
  <conditionalFormatting sqref="C18">
    <cfRule type="cellIs" dxfId="2" priority="2" operator="equal">
      <formula>0</formula>
    </cfRule>
  </conditionalFormatting>
  <conditionalFormatting sqref="F17:F23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29:F30 F15:F16 H14:K33 F24:F27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tabSelected="1" view="pageBreakPreview" zoomScale="85" zoomScaleNormal="115" zoomScaleSheetLayoutView="85" workbookViewId="0">
      <selection activeCell="O15" sqref="O15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30" t="s">
        <v>1439</v>
      </c>
      <c r="X2" s="631"/>
      <c r="Y2" s="631"/>
      <c r="Z2" s="631"/>
      <c r="AA2" s="631"/>
      <c r="AB2" s="631"/>
      <c r="AC2" s="631"/>
      <c r="AD2" s="632"/>
    </row>
    <row r="3" spans="3:30">
      <c r="C3" s="238"/>
      <c r="W3" s="633"/>
      <c r="X3" s="634"/>
      <c r="Y3" s="634"/>
      <c r="Z3" s="634"/>
      <c r="AA3" s="634"/>
      <c r="AB3" s="634"/>
      <c r="AC3" s="634"/>
      <c r="AD3" s="635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36" t="s">
        <v>990</v>
      </c>
      <c r="Y5" s="636"/>
      <c r="Z5" s="636"/>
      <c r="AA5" s="636" t="s">
        <v>988</v>
      </c>
      <c r="AB5" s="636"/>
      <c r="AC5" s="636" t="s">
        <v>989</v>
      </c>
      <c r="AD5" s="637"/>
    </row>
    <row r="6" spans="3:30">
      <c r="C6" s="238"/>
      <c r="W6" s="241">
        <v>1</v>
      </c>
      <c r="X6" s="636" t="s">
        <v>993</v>
      </c>
      <c r="Y6" s="636"/>
      <c r="Z6" s="636"/>
      <c r="AA6" s="636"/>
      <c r="AB6" s="636"/>
      <c r="AC6" s="636"/>
      <c r="AD6" s="637"/>
    </row>
    <row r="7" spans="3:30">
      <c r="C7" s="238"/>
      <c r="E7" s="483" t="s">
        <v>1612</v>
      </c>
      <c r="W7" s="241">
        <v>2</v>
      </c>
      <c r="X7" s="636" t="s">
        <v>994</v>
      </c>
      <c r="Y7" s="636"/>
      <c r="Z7" s="636"/>
      <c r="AA7" s="636"/>
      <c r="AB7" s="636"/>
      <c r="AC7" s="636"/>
      <c r="AD7" s="637"/>
    </row>
    <row r="8" spans="3:30">
      <c r="C8" s="238"/>
      <c r="W8" s="241">
        <v>3</v>
      </c>
      <c r="X8" s="636" t="s">
        <v>995</v>
      </c>
      <c r="Y8" s="636"/>
      <c r="Z8" s="636"/>
      <c r="AA8" s="636"/>
      <c r="AB8" s="636"/>
      <c r="AC8" s="636"/>
      <c r="AD8" s="637"/>
    </row>
    <row r="9" spans="3:30">
      <c r="C9" s="238"/>
      <c r="W9" s="241">
        <v>4</v>
      </c>
      <c r="X9" s="636" t="s">
        <v>996</v>
      </c>
      <c r="Y9" s="636"/>
      <c r="Z9" s="636"/>
      <c r="AA9" s="636"/>
      <c r="AB9" s="636"/>
      <c r="AC9" s="636"/>
      <c r="AD9" s="637"/>
    </row>
    <row r="10" spans="3:30">
      <c r="C10" s="238"/>
      <c r="W10" s="241">
        <v>5</v>
      </c>
      <c r="X10" s="636" t="s">
        <v>997</v>
      </c>
      <c r="Y10" s="636"/>
      <c r="Z10" s="636"/>
      <c r="AA10" s="636"/>
      <c r="AB10" s="636"/>
      <c r="AC10" s="636"/>
      <c r="AD10" s="637"/>
    </row>
    <row r="11" spans="3:30">
      <c r="C11" s="238"/>
      <c r="W11" s="241">
        <v>6</v>
      </c>
      <c r="X11" s="636" t="s">
        <v>998</v>
      </c>
      <c r="Y11" s="636"/>
      <c r="Z11" s="636"/>
      <c r="AA11" s="636"/>
      <c r="AB11" s="636"/>
      <c r="AC11" s="636"/>
      <c r="AD11" s="637"/>
    </row>
    <row r="12" spans="3:30">
      <c r="C12" s="238"/>
      <c r="W12" s="241">
        <v>7</v>
      </c>
      <c r="X12" s="636" t="s">
        <v>999</v>
      </c>
      <c r="Y12" s="636"/>
      <c r="Z12" s="636"/>
      <c r="AA12" s="636"/>
      <c r="AB12" s="636"/>
      <c r="AC12" s="636"/>
      <c r="AD12" s="637"/>
    </row>
    <row r="13" spans="3:30" ht="12.75" customHeight="1">
      <c r="C13" s="238"/>
      <c r="W13" s="241">
        <v>8</v>
      </c>
      <c r="X13" s="636" t="s">
        <v>1000</v>
      </c>
      <c r="Y13" s="636"/>
      <c r="Z13" s="636"/>
      <c r="AA13" s="636"/>
      <c r="AB13" s="636"/>
      <c r="AC13" s="636"/>
      <c r="AD13" s="637"/>
    </row>
    <row r="14" spans="3:30">
      <c r="C14" s="238"/>
      <c r="W14" s="241">
        <v>9</v>
      </c>
      <c r="X14" s="636" t="s">
        <v>1001</v>
      </c>
      <c r="Y14" s="636"/>
      <c r="Z14" s="636"/>
      <c r="AA14" s="636"/>
      <c r="AB14" s="636"/>
      <c r="AC14" s="636"/>
      <c r="AD14" s="637"/>
    </row>
    <row r="15" spans="3:30">
      <c r="C15" s="238"/>
      <c r="W15" s="241">
        <v>10</v>
      </c>
      <c r="X15" s="636" t="s">
        <v>1010</v>
      </c>
      <c r="Y15" s="636"/>
      <c r="Z15" s="636"/>
      <c r="AA15" s="636"/>
      <c r="AB15" s="636"/>
      <c r="AC15" s="636"/>
      <c r="AD15" s="637"/>
    </row>
    <row r="16" spans="3:30">
      <c r="C16" s="238"/>
      <c r="W16" s="241">
        <v>11</v>
      </c>
      <c r="X16" s="636" t="s">
        <v>1455</v>
      </c>
      <c r="Y16" s="636"/>
      <c r="Z16" s="636"/>
      <c r="AA16" s="636"/>
      <c r="AB16" s="636"/>
      <c r="AC16" s="636"/>
      <c r="AD16" s="637"/>
    </row>
    <row r="17" spans="3:30">
      <c r="C17" s="238"/>
      <c r="S17" s="242"/>
      <c r="W17" s="241">
        <v>12</v>
      </c>
      <c r="X17" s="636" t="s">
        <v>1011</v>
      </c>
      <c r="Y17" s="636"/>
      <c r="Z17" s="636"/>
      <c r="AA17" s="636"/>
      <c r="AB17" s="636"/>
      <c r="AC17" s="636"/>
      <c r="AD17" s="637"/>
    </row>
    <row r="18" spans="3:30">
      <c r="C18" s="243"/>
      <c r="D18" s="244"/>
      <c r="E18" s="244"/>
      <c r="W18" s="241">
        <v>13</v>
      </c>
      <c r="X18" s="636"/>
      <c r="Y18" s="636"/>
      <c r="Z18" s="636"/>
      <c r="AA18" s="636"/>
      <c r="AB18" s="636"/>
      <c r="AC18" s="636"/>
      <c r="AD18" s="637"/>
    </row>
    <row r="19" spans="3:30">
      <c r="C19" s="238"/>
      <c r="W19" s="245"/>
      <c r="X19" s="653"/>
      <c r="Y19" s="653"/>
      <c r="Z19" s="653"/>
      <c r="AA19" s="653"/>
      <c r="AB19" s="653"/>
      <c r="AC19" s="653"/>
      <c r="AD19" s="654"/>
    </row>
    <row r="20" spans="3:30">
      <c r="C20" s="238"/>
      <c r="W20" s="638" t="s">
        <v>992</v>
      </c>
      <c r="X20" s="639"/>
      <c r="Y20" s="639"/>
      <c r="Z20" s="639"/>
      <c r="AA20" s="639"/>
      <c r="AB20" s="639"/>
      <c r="AC20" s="639"/>
      <c r="AD20" s="640"/>
    </row>
    <row r="21" spans="3:30">
      <c r="C21" s="238"/>
      <c r="W21" s="641" t="s">
        <v>985</v>
      </c>
      <c r="X21" s="642"/>
      <c r="Y21" s="642"/>
      <c r="Z21" s="643"/>
      <c r="AA21" s="644" t="s">
        <v>986</v>
      </c>
      <c r="AB21" s="645"/>
      <c r="AC21" s="645"/>
      <c r="AD21" s="646"/>
    </row>
    <row r="22" spans="3:30">
      <c r="C22" s="238"/>
      <c r="W22" s="647"/>
      <c r="X22" s="648"/>
      <c r="Y22" s="485"/>
      <c r="Z22" s="488"/>
      <c r="AA22" s="649"/>
      <c r="AB22" s="650"/>
      <c r="AC22" s="248"/>
      <c r="AD22" s="249"/>
    </row>
    <row r="23" spans="3:30">
      <c r="C23" s="238"/>
      <c r="W23" s="647"/>
      <c r="X23" s="648"/>
      <c r="Y23" s="485"/>
      <c r="Z23" s="488"/>
      <c r="AA23" s="651"/>
      <c r="AB23" s="652"/>
      <c r="AC23" s="248"/>
      <c r="AD23" s="249"/>
    </row>
    <row r="24" spans="3:30">
      <c r="C24" s="238"/>
      <c r="W24" s="657"/>
      <c r="X24" s="658"/>
      <c r="Y24" s="246"/>
      <c r="Z24" s="247"/>
      <c r="AA24" s="659"/>
      <c r="AB24" s="660"/>
      <c r="AC24" s="248"/>
      <c r="AD24" s="249"/>
    </row>
    <row r="25" spans="3:30">
      <c r="C25" s="238"/>
      <c r="W25" s="657"/>
      <c r="X25" s="658"/>
      <c r="Y25" s="246"/>
      <c r="Z25" s="247"/>
      <c r="AA25" s="651"/>
      <c r="AB25" s="652"/>
      <c r="AC25" s="248"/>
      <c r="AD25" s="249"/>
    </row>
    <row r="26" spans="3:30">
      <c r="C26" s="238"/>
      <c r="W26" s="473"/>
      <c r="X26" s="474"/>
      <c r="Y26" s="246"/>
      <c r="Z26" s="247"/>
      <c r="AA26" s="651"/>
      <c r="AB26" s="652"/>
      <c r="AC26" s="248"/>
      <c r="AD26" s="249"/>
    </row>
    <row r="27" spans="3:30">
      <c r="C27" s="238"/>
      <c r="W27" s="473"/>
      <c r="X27" s="474"/>
      <c r="Y27" s="246"/>
      <c r="Z27" s="247"/>
      <c r="AA27" s="655"/>
      <c r="AB27" s="656"/>
      <c r="AC27" s="248"/>
      <c r="AD27" s="249"/>
    </row>
    <row r="28" spans="3:30">
      <c r="C28" s="238"/>
      <c r="W28" s="473"/>
      <c r="X28" s="474"/>
      <c r="Y28" s="246"/>
      <c r="Z28" s="247"/>
      <c r="AA28" s="655"/>
      <c r="AB28" s="656"/>
      <c r="AC28" s="248"/>
      <c r="AD28" s="249"/>
    </row>
    <row r="29" spans="3:30">
      <c r="C29" s="238"/>
      <c r="W29" s="473"/>
      <c r="X29" s="474"/>
      <c r="Y29" s="246"/>
      <c r="Z29" s="247"/>
      <c r="AA29" s="655"/>
      <c r="AB29" s="656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55"/>
      <c r="AB30" s="656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55"/>
      <c r="AB31" s="656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55"/>
      <c r="AB32" s="656"/>
      <c r="AC32" s="248"/>
      <c r="AD32" s="249"/>
    </row>
    <row r="33" spans="3:30">
      <c r="C33" s="238"/>
      <c r="W33" s="473"/>
      <c r="X33" s="474"/>
      <c r="Y33" s="246"/>
      <c r="Z33" s="247"/>
      <c r="AA33" s="655"/>
      <c r="AB33" s="656"/>
      <c r="AC33" s="248"/>
      <c r="AD33" s="249"/>
    </row>
    <row r="34" spans="3:30">
      <c r="C34" s="238"/>
      <c r="W34" s="473"/>
      <c r="X34" s="474"/>
      <c r="Y34" s="246"/>
      <c r="Z34" s="247"/>
      <c r="AA34" s="655"/>
      <c r="AB34" s="656"/>
      <c r="AC34" s="248"/>
      <c r="AD34" s="249"/>
    </row>
    <row r="35" spans="3:30">
      <c r="C35" s="238"/>
      <c r="W35" s="657"/>
      <c r="X35" s="670"/>
      <c r="Y35" s="246"/>
      <c r="Z35" s="247"/>
      <c r="AA35" s="655"/>
      <c r="AB35" s="656"/>
      <c r="AC35" s="248"/>
      <c r="AD35" s="249"/>
    </row>
    <row r="36" spans="3:30">
      <c r="C36" s="238"/>
      <c r="W36" s="661"/>
      <c r="X36" s="662"/>
      <c r="Y36" s="246"/>
      <c r="Z36" s="251"/>
      <c r="AA36" s="663"/>
      <c r="AB36" s="656"/>
      <c r="AC36" s="248"/>
      <c r="AD36" s="249"/>
    </row>
    <row r="37" spans="3:30" ht="12.75" customHeight="1">
      <c r="C37" s="238"/>
      <c r="W37" s="664"/>
      <c r="X37" s="665"/>
      <c r="Y37" s="246"/>
      <c r="Z37" s="251"/>
      <c r="AA37" s="666"/>
      <c r="AB37" s="667"/>
      <c r="AC37" s="252"/>
      <c r="AD37" s="253"/>
    </row>
    <row r="38" spans="3:30" ht="12.75" customHeight="1">
      <c r="C38" s="238"/>
      <c r="W38" s="664"/>
      <c r="X38" s="665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64"/>
      <c r="X39" s="665"/>
      <c r="Y39" s="254"/>
      <c r="Z39" s="257"/>
      <c r="AA39" s="668"/>
      <c r="AB39" s="669"/>
      <c r="AC39" s="252"/>
      <c r="AD39" s="253"/>
    </row>
    <row r="40" spans="3:30" ht="12" customHeight="1">
      <c r="C40" s="238"/>
      <c r="W40" s="674"/>
      <c r="X40" s="675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76"/>
      <c r="X41" s="677"/>
      <c r="Y41" s="260"/>
      <c r="Z41" s="261"/>
      <c r="AA41" s="668"/>
      <c r="AB41" s="669"/>
      <c r="AC41" s="252"/>
      <c r="AD41" s="253"/>
    </row>
    <row r="42" spans="3:30" ht="12" customHeight="1">
      <c r="C42" s="238"/>
      <c r="W42" s="678" t="s">
        <v>1456</v>
      </c>
      <c r="X42" s="679"/>
      <c r="Y42" s="679"/>
      <c r="Z42" s="679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71" t="s">
        <v>11</v>
      </c>
      <c r="X44" s="672"/>
      <c r="Y44" s="636"/>
      <c r="Z44" s="636"/>
      <c r="AA44" s="636"/>
      <c r="AB44" s="636"/>
      <c r="AC44" s="636"/>
      <c r="AD44" s="637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71" t="s">
        <v>984</v>
      </c>
      <c r="X45" s="672"/>
      <c r="Y45" s="636">
        <v>1</v>
      </c>
      <c r="Z45" s="636"/>
      <c r="AA45" s="636"/>
      <c r="AB45" s="636" t="s">
        <v>12</v>
      </c>
      <c r="AC45" s="636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71" t="s">
        <v>15</v>
      </c>
      <c r="X46" s="672"/>
      <c r="Y46" s="673"/>
      <c r="Z46" s="673"/>
      <c r="AA46" s="673"/>
      <c r="AB46" s="636" t="s">
        <v>16</v>
      </c>
      <c r="AC46" s="636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84" t="s">
        <v>17</v>
      </c>
      <c r="X47" s="684"/>
      <c r="Y47" s="684"/>
      <c r="Z47" s="684"/>
      <c r="AA47" s="684"/>
      <c r="AB47" s="684"/>
      <c r="AC47" s="684"/>
      <c r="AD47" s="685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86" t="str">
        <f>RAB!G6</f>
        <v>PUSKESMAS GABUS 1</v>
      </c>
      <c r="X48" s="687"/>
      <c r="Y48" s="687"/>
      <c r="Z48" s="687"/>
      <c r="AA48" s="687"/>
      <c r="AB48" s="687"/>
      <c r="AC48" s="687"/>
      <c r="AD48" s="688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86" t="str">
        <f>RAB!G7</f>
        <v>JL SULURSARI GABUS</v>
      </c>
      <c r="X49" s="687"/>
      <c r="Y49" s="687"/>
      <c r="Z49" s="687"/>
      <c r="AA49" s="687"/>
      <c r="AB49" s="687"/>
      <c r="AC49" s="687"/>
      <c r="AD49" s="688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5"/>
      <c r="X50" s="491"/>
      <c r="Y50" s="491"/>
      <c r="Z50" s="491"/>
      <c r="AA50" s="491"/>
      <c r="AB50" s="491"/>
      <c r="AC50" s="491"/>
      <c r="AD50" s="49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6"/>
      <c r="X51" s="493"/>
      <c r="Y51" s="493"/>
      <c r="Z51" s="493"/>
      <c r="AA51" s="493"/>
      <c r="AB51" s="493"/>
      <c r="AC51" s="493"/>
      <c r="AD51" s="49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71" t="s">
        <v>18</v>
      </c>
      <c r="X52" s="672"/>
      <c r="Y52" s="636" t="s">
        <v>1607</v>
      </c>
      <c r="Z52" s="636"/>
      <c r="AA52" s="636"/>
      <c r="AB52" s="636"/>
      <c r="AC52" s="636"/>
      <c r="AD52" s="637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71" t="s">
        <v>19</v>
      </c>
      <c r="X53" s="672"/>
      <c r="Y53" s="636" t="s">
        <v>1608</v>
      </c>
      <c r="Z53" s="636"/>
      <c r="AA53" s="636"/>
      <c r="AB53" s="636"/>
      <c r="AC53" s="636"/>
      <c r="AD53" s="637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71" t="s">
        <v>20</v>
      </c>
      <c r="X54" s="672"/>
      <c r="Y54" s="680" t="s">
        <v>1547</v>
      </c>
      <c r="Z54" s="680"/>
      <c r="AA54" s="680"/>
      <c r="AB54" s="636"/>
      <c r="AC54" s="636"/>
      <c r="AD54" s="637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81" t="s">
        <v>21</v>
      </c>
      <c r="X55" s="682"/>
      <c r="Y55" s="680"/>
      <c r="Z55" s="680"/>
      <c r="AA55" s="680"/>
      <c r="AB55" s="680"/>
      <c r="AC55" s="680"/>
      <c r="AD55" s="683"/>
    </row>
  </sheetData>
  <mergeCells count="102"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topLeftCell="A13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89" t="s">
        <v>1528</v>
      </c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  <c r="AA4" s="690"/>
      <c r="AB4" s="690"/>
      <c r="AC4" s="691"/>
      <c r="AD4" s="217"/>
      <c r="AE4" s="216"/>
      <c r="AF4" s="216"/>
    </row>
    <row r="5" spans="2:32" ht="13.5" customHeight="1">
      <c r="B5" s="215"/>
      <c r="C5" s="215"/>
      <c r="D5" s="692"/>
      <c r="E5" s="693"/>
      <c r="F5" s="693"/>
      <c r="G5" s="693"/>
      <c r="H5" s="693"/>
      <c r="I5" s="693"/>
      <c r="J5" s="693"/>
      <c r="K5" s="693"/>
      <c r="L5" s="693"/>
      <c r="M5" s="693"/>
      <c r="N5" s="693"/>
      <c r="O5" s="693"/>
      <c r="P5" s="693"/>
      <c r="Q5" s="693"/>
      <c r="R5" s="693"/>
      <c r="S5" s="693"/>
      <c r="T5" s="693"/>
      <c r="U5" s="693"/>
      <c r="V5" s="693"/>
      <c r="W5" s="693"/>
      <c r="X5" s="693"/>
      <c r="Y5" s="693"/>
      <c r="Z5" s="693"/>
      <c r="AA5" s="693"/>
      <c r="AB5" s="693"/>
      <c r="AC5" s="694"/>
      <c r="AD5" s="217"/>
      <c r="AE5" s="216"/>
      <c r="AF5" s="216"/>
    </row>
    <row r="6" spans="2:32" ht="12.75" customHeight="1">
      <c r="B6" s="215"/>
      <c r="C6" s="215"/>
      <c r="D6" s="692"/>
      <c r="E6" s="693"/>
      <c r="F6" s="693"/>
      <c r="G6" s="693"/>
      <c r="H6" s="693"/>
      <c r="I6" s="693"/>
      <c r="J6" s="693"/>
      <c r="K6" s="693"/>
      <c r="L6" s="693"/>
      <c r="M6" s="693"/>
      <c r="N6" s="693"/>
      <c r="O6" s="693"/>
      <c r="P6" s="693"/>
      <c r="Q6" s="693"/>
      <c r="R6" s="693"/>
      <c r="S6" s="693"/>
      <c r="T6" s="693"/>
      <c r="U6" s="693"/>
      <c r="V6" s="693"/>
      <c r="W6" s="693"/>
      <c r="X6" s="693"/>
      <c r="Y6" s="693"/>
      <c r="Z6" s="693"/>
      <c r="AA6" s="693"/>
      <c r="AB6" s="693"/>
      <c r="AC6" s="694"/>
      <c r="AE6" s="216"/>
      <c r="AF6" s="216"/>
    </row>
    <row r="7" spans="2:32" ht="12.75" customHeight="1" thickBot="1">
      <c r="B7" s="215"/>
      <c r="C7" s="215"/>
      <c r="D7" s="695"/>
      <c r="E7" s="696"/>
      <c r="F7" s="696"/>
      <c r="G7" s="696"/>
      <c r="H7" s="696"/>
      <c r="I7" s="696"/>
      <c r="J7" s="696"/>
      <c r="K7" s="696"/>
      <c r="L7" s="696"/>
      <c r="M7" s="696"/>
      <c r="N7" s="696"/>
      <c r="O7" s="696"/>
      <c r="P7" s="696"/>
      <c r="Q7" s="696"/>
      <c r="R7" s="696"/>
      <c r="S7" s="696"/>
      <c r="T7" s="696"/>
      <c r="U7" s="696"/>
      <c r="V7" s="696"/>
      <c r="W7" s="696"/>
      <c r="X7" s="696"/>
      <c r="Y7" s="696"/>
      <c r="Z7" s="696"/>
      <c r="AA7" s="696"/>
      <c r="AB7" s="696"/>
      <c r="AC7" s="697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3" t="s">
        <v>1527</v>
      </c>
      <c r="D3" s="693"/>
      <c r="E3" s="693"/>
      <c r="F3" s="693"/>
      <c r="G3" s="693"/>
      <c r="H3" s="693"/>
      <c r="I3" s="693"/>
      <c r="J3" s="693"/>
      <c r="K3" s="693"/>
      <c r="L3" s="693"/>
      <c r="M3" s="693"/>
      <c r="N3" s="693"/>
      <c r="O3" s="693"/>
      <c r="P3" s="693"/>
      <c r="Q3" s="693"/>
      <c r="R3" s="693"/>
      <c r="S3" s="693"/>
      <c r="T3" s="693"/>
      <c r="U3" s="693"/>
      <c r="V3" s="693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693"/>
      <c r="D4" s="693"/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698"/>
      <c r="D6" s="698"/>
      <c r="E6" s="698"/>
      <c r="F6" s="698"/>
      <c r="G6" s="698"/>
      <c r="H6" s="698"/>
      <c r="I6" s="698"/>
      <c r="J6" s="698"/>
      <c r="K6" s="698"/>
      <c r="L6" s="698"/>
      <c r="M6" s="698"/>
      <c r="W6" s="182"/>
      <c r="Y6" s="420"/>
      <c r="Z6" s="420"/>
      <c r="AA6" s="420"/>
      <c r="AB6" s="421"/>
      <c r="AC6" s="421"/>
    </row>
    <row r="7" spans="1:29" ht="18" customHeight="1">
      <c r="A7" s="181"/>
      <c r="C7" s="698"/>
      <c r="D7" s="698"/>
      <c r="E7" s="698"/>
      <c r="F7" s="698"/>
      <c r="G7" s="698"/>
      <c r="H7" s="698"/>
      <c r="I7" s="698"/>
      <c r="J7" s="698"/>
      <c r="K7" s="698"/>
      <c r="L7" s="698"/>
      <c r="M7" s="698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Miftakhul Huda</cp:lastModifiedBy>
  <cp:lastPrinted>2023-09-04T07:48:54Z</cp:lastPrinted>
  <dcterms:created xsi:type="dcterms:W3CDTF">2011-02-06T11:57:38Z</dcterms:created>
  <dcterms:modified xsi:type="dcterms:W3CDTF">2023-11-17T07:45:51Z</dcterms:modified>
</cp:coreProperties>
</file>