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iftakhul.huda\Desktop\2020\01. PBPD\2024\01. JANUARI 2024\07. 52554 KKO KKF TSEL PLOSOREJO PB 11 KVA\"/>
    </mc:Choice>
  </mc:AlternateContent>
  <bookViews>
    <workbookView xWindow="0" yWindow="0" windowWidth="20490" windowHeight="7200" tabRatio="859" activeTab="9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RAB!$A$1:$K$72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" i="60" l="1"/>
  <c r="D20" i="60"/>
  <c r="D16" i="60"/>
  <c r="D38" i="11" l="1"/>
  <c r="J38" i="11" s="1"/>
  <c r="E38" i="11"/>
  <c r="G38" i="11"/>
  <c r="D33" i="11"/>
  <c r="J33" i="11" s="1"/>
  <c r="E33" i="11"/>
  <c r="G33" i="11"/>
  <c r="F36" i="11"/>
  <c r="F35" i="11"/>
  <c r="F34" i="11"/>
  <c r="F32" i="11"/>
  <c r="F31" i="11"/>
  <c r="F30" i="11"/>
  <c r="F29" i="11"/>
  <c r="F28" i="11"/>
  <c r="F27" i="11"/>
  <c r="F25" i="11"/>
  <c r="F21" i="11"/>
  <c r="F20" i="11"/>
  <c r="F19" i="11"/>
  <c r="F18" i="11"/>
  <c r="I38" i="11" l="1"/>
  <c r="H38" i="11"/>
  <c r="I33" i="11"/>
  <c r="H33" i="11"/>
  <c r="K38" i="11" l="1"/>
  <c r="K33" i="11"/>
  <c r="D32" i="11" l="1"/>
  <c r="E32" i="11"/>
  <c r="G32" i="11"/>
  <c r="G6" i="11"/>
  <c r="F48" i="11" l="1"/>
  <c r="F47" i="11"/>
  <c r="F46" i="11"/>
  <c r="F45" i="11"/>
  <c r="F44" i="11"/>
  <c r="F43" i="11"/>
  <c r="F42" i="11"/>
  <c r="F41" i="11"/>
  <c r="F40" i="11"/>
  <c r="D39" i="11"/>
  <c r="J39" i="11" s="1"/>
  <c r="E39" i="11"/>
  <c r="G39" i="11"/>
  <c r="D40" i="11"/>
  <c r="J40" i="11" s="1"/>
  <c r="E40" i="11"/>
  <c r="G40" i="11"/>
  <c r="D41" i="11"/>
  <c r="H41" i="11" s="1"/>
  <c r="E41" i="11"/>
  <c r="G41" i="11"/>
  <c r="D42" i="11"/>
  <c r="H42" i="11" s="1"/>
  <c r="E42" i="11"/>
  <c r="G42" i="11"/>
  <c r="D43" i="11"/>
  <c r="J43" i="11" s="1"/>
  <c r="E43" i="11"/>
  <c r="G43" i="11"/>
  <c r="D44" i="11"/>
  <c r="J44" i="11" s="1"/>
  <c r="E44" i="11"/>
  <c r="G44" i="11"/>
  <c r="D45" i="11"/>
  <c r="H45" i="11" s="1"/>
  <c r="E45" i="11"/>
  <c r="G45" i="11"/>
  <c r="D46" i="11"/>
  <c r="J46" i="11" s="1"/>
  <c r="E46" i="11"/>
  <c r="G46" i="11"/>
  <c r="D47" i="11"/>
  <c r="J47" i="11" s="1"/>
  <c r="E47" i="11"/>
  <c r="G47" i="11"/>
  <c r="D48" i="11"/>
  <c r="E48" i="11"/>
  <c r="G48" i="11"/>
  <c r="D50" i="11"/>
  <c r="J50" i="11" s="1"/>
  <c r="E50" i="11"/>
  <c r="G50" i="11"/>
  <c r="G22" i="11"/>
  <c r="G23" i="11"/>
  <c r="G24" i="11"/>
  <c r="G25" i="11"/>
  <c r="G26" i="11"/>
  <c r="G27" i="11"/>
  <c r="G28" i="11"/>
  <c r="G29" i="11"/>
  <c r="G30" i="11"/>
  <c r="G31" i="11"/>
  <c r="G34" i="11"/>
  <c r="G35" i="11"/>
  <c r="G36" i="11"/>
  <c r="J48" i="11" l="1"/>
  <c r="I47" i="11"/>
  <c r="I43" i="11"/>
  <c r="J42" i="11"/>
  <c r="H39" i="11"/>
  <c r="I39" i="11"/>
  <c r="I42" i="11"/>
  <c r="I50" i="11"/>
  <c r="J41" i="11"/>
  <c r="J45" i="11"/>
  <c r="H43" i="11"/>
  <c r="H50" i="11"/>
  <c r="I41" i="11"/>
  <c r="I40" i="11"/>
  <c r="I46" i="11"/>
  <c r="I48" i="11"/>
  <c r="H46" i="11"/>
  <c r="H47" i="11"/>
  <c r="I45" i="11"/>
  <c r="I44" i="11"/>
  <c r="H48" i="11"/>
  <c r="H44" i="11"/>
  <c r="H40" i="11"/>
  <c r="K46" i="11" l="1"/>
  <c r="K47" i="11"/>
  <c r="K40" i="11"/>
  <c r="K50" i="11"/>
  <c r="K42" i="11"/>
  <c r="K43" i="11"/>
  <c r="K45" i="11"/>
  <c r="K41" i="11"/>
  <c r="K39" i="11"/>
  <c r="K48" i="11"/>
  <c r="K44" i="11"/>
  <c r="E27" i="11" l="1"/>
  <c r="E28" i="11"/>
  <c r="E29" i="11"/>
  <c r="E30" i="11"/>
  <c r="E31" i="11"/>
  <c r="E34" i="11"/>
  <c r="E35" i="11"/>
  <c r="E36" i="11"/>
  <c r="D37" i="11" l="1"/>
  <c r="I37" i="11" s="1"/>
  <c r="E37" i="11"/>
  <c r="G37" i="11"/>
  <c r="H37" i="11" l="1"/>
  <c r="J37" i="11"/>
  <c r="K37" i="11" l="1"/>
  <c r="D23" i="11" l="1"/>
  <c r="E23" i="11"/>
  <c r="D24" i="11"/>
  <c r="E24" i="11"/>
  <c r="D25" i="11"/>
  <c r="E25" i="11"/>
  <c r="D26" i="11"/>
  <c r="E26" i="11"/>
  <c r="D27" i="11"/>
  <c r="D28" i="11"/>
  <c r="D29" i="11"/>
  <c r="D30" i="11"/>
  <c r="D31" i="11"/>
  <c r="D34" i="11"/>
  <c r="D35" i="11"/>
  <c r="D36" i="11"/>
  <c r="H32" i="11" l="1"/>
  <c r="I32" i="11"/>
  <c r="J32" i="11"/>
  <c r="I29" i="11"/>
  <c r="J29" i="11"/>
  <c r="H29" i="11"/>
  <c r="H26" i="11"/>
  <c r="I26" i="11"/>
  <c r="J26" i="11"/>
  <c r="H31" i="11"/>
  <c r="I31" i="11"/>
  <c r="J31" i="11"/>
  <c r="H34" i="11"/>
  <c r="I34" i="11"/>
  <c r="J34" i="11"/>
  <c r="H30" i="11"/>
  <c r="I30" i="11"/>
  <c r="J30" i="11"/>
  <c r="J36" i="11"/>
  <c r="H36" i="11"/>
  <c r="I36" i="11"/>
  <c r="J28" i="11"/>
  <c r="H28" i="11"/>
  <c r="I28" i="11"/>
  <c r="J24" i="11"/>
  <c r="H24" i="11"/>
  <c r="I24" i="11"/>
  <c r="H35" i="11"/>
  <c r="I35" i="11"/>
  <c r="J35" i="11"/>
  <c r="H27" i="11"/>
  <c r="I27" i="11"/>
  <c r="J27" i="11"/>
  <c r="I25" i="11"/>
  <c r="J25" i="11"/>
  <c r="H25" i="11"/>
  <c r="H23" i="11"/>
  <c r="I23" i="11"/>
  <c r="J23" i="11"/>
  <c r="K32" i="11" l="1"/>
  <c r="K27" i="11"/>
  <c r="K24" i="11"/>
  <c r="K30" i="11"/>
  <c r="K31" i="11"/>
  <c r="K36" i="11"/>
  <c r="K26" i="11"/>
  <c r="K28" i="11"/>
  <c r="K29" i="11"/>
  <c r="K23" i="11"/>
  <c r="K25" i="11"/>
  <c r="K35" i="11"/>
  <c r="K34" i="11"/>
  <c r="D22" i="11" l="1"/>
  <c r="E22" i="11"/>
  <c r="H22" i="11" l="1"/>
  <c r="I22" i="11"/>
  <c r="J22" i="11"/>
  <c r="D15" i="11"/>
  <c r="H15" i="11" s="1"/>
  <c r="E15" i="11"/>
  <c r="G15" i="11"/>
  <c r="D16" i="11"/>
  <c r="J16" i="11" s="1"/>
  <c r="E16" i="11"/>
  <c r="G16" i="11"/>
  <c r="D17" i="11"/>
  <c r="H17" i="11" s="1"/>
  <c r="E17" i="11"/>
  <c r="G17" i="11"/>
  <c r="D18" i="11"/>
  <c r="E18" i="11"/>
  <c r="G18" i="11"/>
  <c r="D19" i="11"/>
  <c r="E19" i="11"/>
  <c r="G19" i="11"/>
  <c r="D20" i="11"/>
  <c r="J20" i="11" s="1"/>
  <c r="E20" i="11"/>
  <c r="G20" i="11"/>
  <c r="D21" i="11"/>
  <c r="E21" i="11"/>
  <c r="G21" i="11"/>
  <c r="J21" i="11" l="1"/>
  <c r="K22" i="11"/>
  <c r="I15" i="11"/>
  <c r="J15" i="11"/>
  <c r="H19" i="11"/>
  <c r="I17" i="11"/>
  <c r="I19" i="11"/>
  <c r="J17" i="11"/>
  <c r="I21" i="11"/>
  <c r="I16" i="11"/>
  <c r="H21" i="11"/>
  <c r="I20" i="11"/>
  <c r="J19" i="11"/>
  <c r="H18" i="11"/>
  <c r="J18" i="11"/>
  <c r="I18" i="11"/>
  <c r="H20" i="11"/>
  <c r="H16" i="11"/>
  <c r="K15" i="11" l="1"/>
  <c r="K17" i="11"/>
  <c r="K16" i="11"/>
  <c r="K19" i="11"/>
  <c r="K21" i="11"/>
  <c r="K20" i="11"/>
  <c r="K18" i="11"/>
  <c r="W49" i="64"/>
  <c r="D51" i="11" l="1"/>
  <c r="I51" i="11" s="1"/>
  <c r="E51" i="11"/>
  <c r="G51" i="11"/>
  <c r="J51" i="11" l="1"/>
  <c r="H51" i="11"/>
  <c r="K51" i="11" l="1"/>
  <c r="D21" i="59" l="1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6" i="60" l="1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52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52" i="11"/>
  <c r="D53" i="11"/>
  <c r="H53" i="11" s="1"/>
  <c r="E53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N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N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N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N1454" i="10" s="1"/>
  <c r="K1454" i="10"/>
  <c r="M1454" i="10" s="1"/>
  <c r="O1454" i="10"/>
  <c r="P1454" i="10" s="1"/>
  <c r="N739" i="10"/>
  <c r="N874" i="10"/>
  <c r="N857" i="10"/>
  <c r="N1070" i="10"/>
  <c r="N700" i="10"/>
  <c r="N775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664" i="10"/>
  <c r="N986" i="10"/>
  <c r="N922" i="10"/>
  <c r="N921" i="10"/>
  <c r="N908" i="10"/>
  <c r="N892" i="10"/>
  <c r="N884" i="10"/>
  <c r="N763" i="10"/>
  <c r="N645" i="10"/>
  <c r="N993" i="10"/>
  <c r="N964" i="10"/>
  <c r="N1085" i="10"/>
  <c r="N1053" i="10"/>
  <c r="N1045" i="10"/>
  <c r="N989" i="10"/>
  <c r="N977" i="10"/>
  <c r="N937" i="10"/>
  <c r="N845" i="10"/>
  <c r="N813" i="10"/>
  <c r="N925" i="10"/>
  <c r="N909" i="10"/>
  <c r="N896" i="10"/>
  <c r="N712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53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60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 s="1"/>
  <c r="M198" i="10"/>
  <c r="N198" i="10" s="1"/>
  <c r="M1435" i="10"/>
  <c r="M231" i="10"/>
  <c r="L42" i="39"/>
  <c r="L172" i="29"/>
  <c r="B171" i="29" l="1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52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53" i="11"/>
  <c r="I53" i="11"/>
  <c r="C294" i="29" l="1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89" i="29"/>
  <c r="E299" i="29"/>
  <c r="E268" i="29"/>
  <c r="E273" i="29"/>
  <c r="F308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53" i="11"/>
  <c r="E236" i="29" l="1"/>
  <c r="J52" i="11"/>
  <c r="K52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55" i="11"/>
  <c r="H56" i="11" s="1"/>
  <c r="I55" i="11"/>
  <c r="I56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3" i="29" l="1"/>
  <c r="F294" i="29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57" i="11"/>
  <c r="I57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55" i="11"/>
  <c r="K56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55" i="11"/>
  <c r="J56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57" i="11"/>
  <c r="B58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57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F783" i="41"/>
  <c r="F784" i="4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<sst xmlns="http://schemas.openxmlformats.org/spreadsheetml/2006/main" count="4719" uniqueCount="1628">
  <si>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</si>
  <si>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</si>
  <si>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</si>
  <si>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</si>
  <si>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</si>
  <si>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</si>
  <si>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</si>
  <si>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</si>
  <si>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</si>
  <si>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</si>
  <si>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</si>
  <si>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</si>
  <si>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</si>
  <si>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</si>
  <si>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</si>
  <si>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</si>
  <si>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</si>
  <si>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</si>
  <si>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</si>
  <si>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</si>
  <si>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</si>
  <si>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</si>
  <si>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</si>
  <si>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</si>
  <si>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</si>
  <si>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</si>
  <si>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</si>
  <si>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</si>
  <si>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</si>
  <si>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</si>
  <si>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</si>
  <si>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</si>
  <si>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</si>
  <si>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</si>
  <si>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</si>
  <si>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</si>
  <si>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</si>
  <si>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</si>
  <si>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</si>
  <si>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</si>
  <si>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</si>
  <si>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</si>
  <si>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</si>
  <si>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</si>
  <si>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</si>
  <si>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</si>
  <si>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</si>
  <si>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</si>
  <si>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</si>
  <si>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</si>
  <si>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</si>
  <si>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</si>
  <si>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</si>
  <si>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</si>
  <si>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</si>
  <si>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</si>
  <si>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</si>
  <si>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</si>
  <si>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</si>
  <si>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</si>
  <si>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</si>
  <si>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</si>
  <si>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</si>
  <si>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</si>
  <si>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</si>
  <si>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</si>
  <si>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</si>
  <si>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</si>
  <si>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</si>
  <si>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</si>
  <si>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</si>
  <si>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</si>
  <si>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</si>
  <si>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</si>
  <si>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</si>
  <si>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</si>
  <si>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</si>
  <si>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</si>
  <si>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</si>
  <si>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</si>
  <si>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</si>
  <si>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</si>
  <si>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</si>
  <si>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</si>
  <si>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</si>
  <si>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</si>
  <si>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</si>
  <si>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</si>
  <si>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</si>
  <si>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</si>
  <si>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</si>
  <si>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</si>
  <si>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</si>
  <si>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</si>
  <si>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</si>
  <si>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</si>
  <si>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</si>
  <si>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</si>
  <si>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</si>
  <si>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</si>
  <si>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</si>
  <si>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</si>
  <si>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</si>
  <si>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</si>
  <si>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</si>
  <si>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</si>
  <si>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</si>
  <si>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</si>
  <si>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</si>
  <si>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</si>
  <si>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</si>
  <si>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</si>
  <si>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</si>
  <si>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</si>
  <si>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</si>
  <si>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</si>
  <si>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</si>
  <si>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</si>
  <si>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</si>
  <si>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</si>
  <si>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</si>
  <si>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</si>
  <si>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</si>
  <si>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</si>
  <si>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</si>
  <si>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</si>
  <si>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</si>
  <si>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</si>
  <si>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</si>
  <si>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</si>
  <si>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</si>
  <si>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</si>
  <si>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</si>
  <si>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</si>
  <si>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</si>
  <si>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</si>
  <si>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</si>
  <si>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</si>
  <si>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</si>
  <si>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</si>
  <si>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</si>
  <si>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</si>
  <si>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</si>
  <si>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</si>
  <si>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</si>
  <si>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</si>
  <si>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</si>
  <si>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</si>
  <si>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</si>
  <si>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</si>
  <si>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</si>
  <si>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</si>
  <si>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</si>
  <si>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</si>
  <si>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</si>
  <si>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</si>
  <si>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</si>
  <si>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</si>
  <si>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</si>
  <si>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</si>
  <si>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</si>
  <si>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</si>
  <si>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</si>
  <si>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</si>
  <si>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</si>
  <si>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</si>
  <si>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</si>
  <si>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</si>
  <si>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</si>
  <si>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</si>
  <si>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</si>
  <si>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</si>
  <si>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</si>
  <si>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</si>
  <si>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</si>
  <si>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</si>
  <si>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</si>
  <si>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</si>
  <si>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</si>
  <si>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</si>
  <si>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</si>
  <si>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</si>
  <si>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</si>
  <si>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</si>
  <si>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</si>
  <si>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</si>
  <si>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</si>
  <si>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</si>
  <si>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</si>
  <si>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</si>
  <si>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</si>
  <si>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</si>
  <si>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</si>
  <si>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</si>
  <si>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</si>
  <si>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</si>
  <si>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</si>
  <si>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</si>
  <si>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</si>
  <si>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</si>
  <si>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</si>
  <si>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</si>
  <si>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</si>
  <si>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</si>
  <si>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</si>
  <si>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</si>
  <si>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</si>
  <si>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</si>
  <si>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</si>
  <si>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</si>
  <si>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</si>
  <si>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</si>
  <si>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</si>
  <si>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</si>
  <si>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</si>
  <si>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</si>
  <si>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</si>
  <si>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</si>
  <si>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</si>
  <si>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</si>
  <si>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</si>
  <si>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</si>
  <si>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</si>
  <si>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</si>
  <si>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</si>
  <si>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</si>
  <si>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</si>
  <si>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</si>
  <si>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</si>
  <si>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</si>
  <si>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</si>
  <si>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</si>
  <si>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</si>
  <si>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</si>
  <si>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</si>
  <si>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</si>
  <si>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</si>
  <si>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</si>
  <si>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</si>
  <si>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</si>
  <si>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</si>
  <si>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</si>
  <si>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</si>
  <si>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</si>
  <si>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</si>
  <si>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</si>
  <si>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</si>
  <si>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</si>
  <si>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</si>
  <si>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</si>
  <si>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</si>
  <si>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</si>
  <si>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</si>
  <si>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</si>
  <si>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</si>
  <si>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</si>
  <si>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</si>
  <si>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</si>
  <si>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</si>
  <si>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</si>
  <si>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</si>
  <si>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</si>
  <si>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</si>
  <si>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</si>
  <si>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</si>
  <si>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</si>
  <si>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</si>
  <si>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</si>
  <si>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</si>
  <si>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</si>
  <si>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</si>
  <si>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</si>
  <si>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</si>
  <si>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</si>
  <si>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</si>
  <si>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</si>
  <si>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</si>
  <si>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</si>
  <si>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</si>
  <si>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</si>
  <si>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</si>
  <si>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</si>
  <si>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</si>
  <si>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</si>
  <si>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</si>
  <si>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</si>
  <si>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</si>
  <si>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</si>
  <si>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</si>
  <si>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</si>
  <si>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</si>
  <si>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</si>
  <si>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</si>
  <si>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</si>
  <si>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</si>
  <si>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</si>
  <si>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</si>
  <si>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</si>
  <si>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</si>
  <si>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</si>
  <si>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</si>
  <si>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</si>
  <si>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</si>
  <si>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</si>
  <si>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</si>
  <si>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</si>
  <si>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</si>
  <si>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</si>
  <si>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</si>
  <si>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</si>
  <si>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</si>
  <si>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</si>
  <si>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</si>
  <si>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</si>
  <si>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</si>
  <si>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</si>
  <si>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</si>
  <si>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</si>
  <si>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</si>
  <si>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</si>
  <si>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</si>
  <si>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</si>
  <si>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</si>
  <si>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</si>
  <si>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</si>
  <si>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</si>
  <si>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</si>
  <si>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</si>
  <si>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</si>
  <si>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</si>
  <si>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</si>
  <si>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</si>
  <si>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</si>
  <si>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</si>
  <si>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</si>
  <si>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</si>
  <si>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</si>
  <si>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</si>
  <si>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</si>
  <si>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</si>
  <si>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</si>
  <si>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</si>
  <si>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</si>
  <si>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</si>
  <si>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</si>
  <si>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</si>
  <si>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</si>
  <si>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</si>
  <si>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</si>
  <si>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</si>
  <si>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</si>
  <si>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</si>
  <si>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</si>
  <si>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</si>
  <si>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</si>
  <si>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</si>
  <si>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</si>
  <si>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</si>
  <si>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</si>
  <si>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</si>
  <si>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</si>
  <si>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</si>
  <si>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</si>
  <si>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</si>
  <si>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</si>
  <si>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</si>
  <si>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</si>
  <si>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</si>
  <si>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</si>
  <si>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</si>
  <si>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</si>
  <si>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</si>
  <si>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</si>
  <si>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</si>
  <si>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</si>
  <si>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</si>
  <si>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</si>
  <si>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</si>
  <si>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</si>
  <si>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</si>
  <si>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</si>
  <si>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</si>
  <si>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</si>
  <si>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</si>
  <si>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</si>
  <si>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</si>
  <si>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</si>
  <si>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</si>
  <si>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</si>
  <si>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</si>
  <si>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</si>
  <si>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</si>
  <si>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</si>
  <si>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</si>
  <si>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</si>
  <si>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</si>
  <si>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</si>
  <si>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</si>
  <si>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</si>
  <si>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</si>
  <si>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</si>
  <si>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</si>
  <si>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</si>
  <si>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</si>
  <si>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</si>
  <si>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</si>
  <si>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</si>
  <si>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</si>
  <si>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</si>
  <si>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</si>
  <si>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</si>
  <si>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</si>
  <si>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</si>
  <si>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</si>
  <si>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</si>
  <si>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</si>
  <si>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</si>
  <si>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</si>
  <si>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</si>
  <si>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</si>
  <si>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</si>
  <si>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</si>
  <si>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</si>
  <si>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</si>
  <si>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</si>
  <si>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</si>
  <si>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</si>
  <si>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</si>
  <si>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</si>
  <si>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</si>
  <si>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</si>
  <si>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</si>
  <si>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</si>
  <si>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</si>
  <si>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</si>
  <si>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</si>
  <si>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</si>
  <si>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</si>
  <si>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</si>
  <si>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</si>
  <si>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</si>
  <si>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</si>
  <si>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</si>
  <si>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</si>
  <si>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</si>
  <si>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</si>
  <si>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</si>
  <si>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</si>
  <si>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</si>
  <si>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</si>
  <si>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</si>
  <si>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</si>
  <si>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</si>
  <si>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</si>
  <si>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</si>
  <si>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</si>
  <si>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</si>
  <si>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</si>
  <si>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</si>
  <si>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</si>
  <si>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</si>
  <si>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</si>
  <si>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</si>
  <si>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</si>
  <si>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</si>
  <si>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</si>
  <si>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</si>
  <si>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</si>
  <si>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</si>
  <si>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</si>
  <si>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</si>
  <si>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</si>
  <si>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</si>
  <si>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</si>
  <si>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</si>
  <si>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</si>
  <si>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</si>
  <si>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</si>
  <si>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</si>
  <si>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</si>
  <si>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</si>
  <si>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</si>
  <si>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</si>
  <si>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</si>
  <si>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</si>
  <si>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</si>
  <si>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</si>
  <si>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</si>
  <si>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</si>
  <si>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</si>
  <si>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</si>
  <si>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</si>
  <si>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</si>
  <si>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</si>
  <si>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</si>
  <si>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</si>
  <si>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</si>
  <si>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</si>
  <si>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</si>
  <si>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</si>
  <si>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</si>
  <si>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</si>
  <si>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</si>
  <si>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</si>
  <si>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</si>
  <si>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</si>
  <si>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</si>
  <si>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</si>
  <si>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</si>
  <si>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</si>
  <si>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</si>
  <si>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</si>
  <si>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</si>
  <si>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</si>
  <si>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</si>
  <si>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</si>
  <si>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</si>
  <si>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</si>
  <si>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</si>
  <si>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</si>
  <si>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</si>
  <si>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</si>
  <si>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</si>
  <si>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</si>
  <si>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</si>
  <si>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</si>
  <si>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</si>
  <si>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</si>
  <si>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</si>
  <si>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</si>
  <si>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</si>
  <si>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</si>
  <si>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</si>
  <si>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</si>
  <si>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</si>
  <si>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</si>
  <si>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</si>
  <si>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</si>
  <si>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</si>
  <si>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</si>
  <si>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</si>
  <si>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</si>
  <si>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</si>
  <si>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</si>
  <si>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</si>
  <si>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</si>
  <si>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</si>
  <si>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</si>
  <si>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</si>
  <si>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</si>
  <si>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</si>
  <si>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</si>
  <si>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</si>
  <si>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</si>
  <si>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</si>
  <si>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</si>
  <si>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</si>
  <si>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</si>
  <si>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</si>
  <si>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</si>
  <si>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</si>
  <si>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</si>
  <si>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</si>
  <si>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</si>
  <si>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</si>
  <si>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</si>
  <si>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</si>
  <si>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</si>
  <si>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</si>
  <si>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</si>
  <si>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</si>
  <si>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</si>
  <si>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</si>
  <si>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</si>
  <si>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</si>
  <si>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</si>
  <si>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</si>
  <si>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</si>
  <si>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</si>
  <si>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</si>
  <si>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</si>
  <si>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</si>
  <si>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</si>
  <si>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</si>
  <si>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</si>
  <si>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</si>
  <si>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</si>
  <si>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</si>
  <si>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</si>
  <si>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</si>
  <si>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</si>
  <si>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</si>
  <si>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</si>
  <si>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</si>
  <si>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</si>
  <si>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</si>
  <si>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</si>
  <si>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</si>
  <si>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</si>
  <si>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</si>
  <si>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</si>
  <si>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</si>
  <si>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</si>
  <si>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</si>
  <si>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</si>
  <si>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</si>
  <si>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</si>
  <si>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</si>
  <si>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</si>
  <si>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</si>
  <si>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</si>
  <si>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</si>
  <si>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</si>
  <si>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</si>
  <si>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</si>
  <si>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</si>
  <si>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</si>
  <si>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</si>
  <si>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</si>
  <si>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</si>
  <si>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</si>
  <si>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</si>
  <si>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</si>
  <si>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</si>
  <si>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</si>
  <si>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</si>
  <si>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</si>
  <si>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</si>
  <si>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</si>
  <si>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</si>
  <si>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</si>
  <si>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</si>
  <si>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</si>
  <si>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</si>
  <si>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</si>
  <si>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</si>
  <si>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</si>
  <si>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</si>
  <si>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</si>
  <si>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</si>
  <si>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</si>
  <si>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</si>
  <si>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</si>
  <si>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</si>
  <si>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</si>
  <si>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</si>
  <si>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</si>
  <si>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</si>
  <si>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</si>
  <si>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</si>
  <si>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</si>
  <si>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</si>
  <si>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</si>
  <si>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</si>
  <si>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</si>
  <si>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</si>
  <si>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</si>
  <si>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</si>
  <si>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</si>
  <si>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</si>
  <si>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</si>
  <si>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</si>
  <si>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</si>
  <si>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</si>
  <si>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</si>
  <si>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</si>
  <si>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</si>
  <si>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</si>
  <si>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</si>
  <si>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</si>
  <si>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</si>
  <si>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</si>
  <si>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</si>
  <si>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</si>
  <si>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</si>
  <si>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</si>
  <si>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</si>
  <si>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</si>
  <si>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</si>
  <si>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</si>
  <si>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</si>
  <si>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</si>
  <si>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</si>
  <si>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</si>
  <si>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</si>
  <si>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</si>
  <si>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</si>
  <si>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</si>
  <si>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</si>
  <si>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</si>
  <si>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</si>
  <si>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</si>
  <si>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</si>
  <si>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</si>
  <si>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</si>
  <si>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</si>
  <si>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</si>
  <si>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</si>
  <si>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</si>
  <si>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</si>
  <si>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</si>
  <si>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</si>
  <si>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</si>
  <si>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</si>
  <si>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</si>
  <si>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</si>
  <si>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</si>
  <si>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</si>
  <si>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</si>
  <si>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</si>
  <si>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</si>
  <si>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</si>
  <si>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</si>
  <si>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</si>
  <si>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</si>
  <si>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</si>
  <si>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</si>
  <si>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</si>
  <si>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</si>
  <si>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</si>
  <si>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</si>
  <si>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</si>
  <si>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</si>
  <si>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</si>
  <si>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</si>
  <si>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</si>
  <si>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</si>
  <si>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</si>
  <si>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</si>
  <si>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</si>
  <si>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</si>
  <si>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</si>
  <si>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</si>
  <si>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</si>
  <si>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</si>
  <si>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</si>
  <si>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</si>
  <si>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</si>
  <si>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</si>
  <si>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</si>
  <si>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</si>
  <si>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</si>
  <si>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</si>
  <si>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</si>
  <si>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</si>
  <si>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</si>
  <si>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</si>
  <si>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</si>
  <si>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</si>
  <si>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</si>
  <si>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</si>
  <si>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</si>
  <si>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</si>
  <si>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</si>
  <si>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</si>
  <si>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</si>
  <si>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</si>
  <si>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</si>
  <si>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</si>
  <si>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</si>
  <si>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</si>
  <si>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</si>
  <si>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</si>
  <si>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</si>
  <si>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</si>
  <si>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</si>
  <si>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</si>
  <si>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</si>
  <si>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</si>
  <si>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</si>
  <si>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</si>
  <si>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</si>
  <si>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</si>
  <si>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</si>
  <si>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</si>
  <si>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</si>
  <si>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</si>
  <si>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</si>
  <si>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</si>
  <si>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</si>
  <si>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</si>
  <si>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</si>
  <si>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</si>
  <si>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</si>
  <si>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</si>
  <si>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</si>
  <si>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</si>
  <si>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</si>
  <si>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</si>
  <si>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</si>
  <si>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</si>
  <si>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</si>
  <si>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</si>
  <si>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</si>
  <si>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</si>
  <si>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</si>
  <si>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</si>
  <si>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</si>
  <si>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</si>
  <si>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</si>
  <si>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</si>
  <si>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</si>
  <si>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</si>
  <si>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</si>
  <si>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</si>
  <si>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</si>
  <si>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</si>
  <si>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</si>
  <si>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</si>
  <si>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</si>
  <si>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</si>
  <si>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</si>
  <si>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</si>
  <si>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</si>
  <si>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</si>
  <si>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</si>
  <si>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</si>
  <si>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</si>
  <si>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</si>
  <si>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</si>
  <si>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</si>
  <si>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</si>
  <si>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</si>
  <si>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</si>
  <si>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</si>
  <si>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</si>
  <si>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</si>
  <si>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</si>
  <si>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</si>
  <si>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</si>
  <si>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</si>
  <si>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</si>
  <si>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</si>
  <si>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</si>
  <si>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</si>
  <si>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</si>
  <si>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</si>
  <si>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</si>
  <si>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</si>
  <si>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</si>
  <si>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</si>
  <si>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</si>
  <si>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</si>
  <si>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</si>
  <si>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</si>
  <si>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</si>
  <si>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</si>
  <si>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</si>
  <si>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</si>
  <si>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</si>
  <si>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</si>
  <si>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</si>
  <si>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</si>
  <si>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</si>
  <si>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</si>
  <si>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</si>
  <si>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</si>
  <si>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</si>
  <si>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</si>
  <si>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</si>
  <si>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</si>
  <si>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</si>
  <si>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</si>
  <si>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</si>
  <si>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</si>
  <si>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</si>
  <si>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</si>
  <si>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</si>
  <si>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</si>
  <si>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</si>
  <si>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</si>
  <si>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</si>
  <si>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</si>
  <si>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</si>
  <si>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</si>
  <si>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</si>
  <si>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</si>
  <si>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</si>
  <si>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</si>
  <si>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</si>
  <si>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</si>
  <si>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</si>
  <si>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</si>
  <si>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</si>
  <si>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</si>
  <si>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</si>
  <si>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</si>
  <si>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</si>
  <si>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</si>
  <si>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</si>
  <si>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</si>
  <si>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</si>
  <si>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</si>
  <si>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</si>
  <si>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</si>
  <si>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</si>
  <si>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</si>
  <si>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</si>
  <si>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</si>
  <si>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</si>
  <si>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</si>
  <si>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</si>
  <si>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</si>
  <si>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</si>
  <si>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</si>
  <si>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</si>
  <si>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</si>
  <si>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</si>
  <si>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</si>
  <si>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</si>
  <si>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</si>
  <si>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</si>
  <si>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</si>
  <si>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</si>
  <si>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</si>
  <si>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</si>
  <si>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</si>
  <si>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</si>
  <si>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</si>
  <si>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</si>
  <si>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</si>
  <si>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</si>
  <si>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</si>
  <si>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</si>
  <si>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</si>
  <si>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</si>
  <si>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</si>
  <si>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</si>
  <si>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</si>
  <si>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</si>
  <si>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</si>
  <si>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</si>
  <si>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</si>
  <si>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</si>
  <si>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</si>
  <si>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</si>
  <si>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</si>
  <si>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</si>
  <si>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</si>
  <si>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</si>
  <si>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</si>
  <si>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</si>
  <si>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</si>
  <si>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</si>
  <si>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</si>
  <si>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</si>
  <si>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</si>
  <si>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</si>
  <si>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</si>
  <si>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</si>
  <si>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</si>
  <si>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</si>
  <si>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</si>
  <si>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</si>
  <si>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</si>
  <si>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</si>
  <si>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</si>
  <si>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</si>
  <si>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</si>
  <si>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</si>
  <si>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</si>
  <si>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</si>
  <si>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</si>
  <si>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</si>
  <si>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</si>
  <si>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</si>
  <si>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</si>
  <si>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</si>
  <si>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</si>
  <si>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</si>
  <si>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</si>
  <si>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</si>
  <si>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</si>
  <si>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</si>
  <si>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</si>
  <si>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</si>
  <si>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</si>
  <si>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</si>
  <si>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</si>
  <si>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</si>
  <si>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</si>
  <si>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</si>
  <si>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</si>
  <si>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</si>
  <si>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</si>
  <si>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</si>
  <si>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</si>
  <si>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</si>
  <si>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</si>
  <si>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</si>
  <si>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</si>
  <si>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</si>
  <si>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</si>
  <si>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</si>
  <si>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</si>
  <si>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</si>
  <si>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</si>
  <si>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</si>
  <si>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</si>
  <si>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</si>
  <si>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</si>
  <si>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</si>
  <si>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</si>
  <si>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</si>
  <si>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</si>
  <si>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</si>
  <si>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</si>
  <si>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</si>
  <si>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</si>
  <si>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</si>
  <si>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</si>
  <si>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</si>
  <si>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</si>
  <si>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</si>
  <si>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</si>
  <si>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</si>
  <si>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</si>
  <si>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</si>
  <si>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</si>
  <si>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</si>
  <si>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</si>
  <si>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</si>
  <si>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</si>
  <si>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</si>
  <si>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</si>
  <si>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</si>
  <si>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</si>
  <si>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</si>
  <si>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</si>
  <si>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</si>
  <si>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</si>
  <si>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</si>
  <si>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</si>
  <si>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</si>
  <si>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</si>
  <si>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</si>
  <si>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</si>
  <si>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</si>
  <si>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</si>
  <si>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</si>
  <si>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</si>
  <si>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</si>
  <si>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</si>
  <si>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</si>
  <si>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</si>
  <si>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</si>
  <si>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</si>
  <si>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</si>
  <si>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</si>
  <si>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</si>
  <si>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</si>
  <si>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</si>
  <si>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</si>
  <si>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</si>
  <si>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</si>
  <si>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</si>
  <si>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</si>
  <si>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</si>
  <si>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</si>
  <si>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</si>
  <si>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</si>
  <si>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</si>
  <si>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</si>
  <si>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</si>
  <si>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</si>
  <si>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</si>
  <si>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</si>
  <si>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</si>
  <si>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</si>
  <si>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</si>
  <si>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</si>
  <si>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</si>
  <si>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</si>
  <si>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</si>
  <si>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</si>
  <si>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</si>
  <si>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</si>
  <si>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</si>
  <si>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</si>
  <si>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</si>
  <si>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</si>
  <si>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</si>
  <si>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</si>
  <si>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</si>
  <si>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</si>
  <si>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</si>
  <si>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</si>
  <si>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</si>
  <si>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</si>
  <si>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</si>
  <si>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</si>
  <si>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</si>
  <si>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</si>
  <si>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</si>
  <si>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</si>
  <si>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</si>
  <si>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</si>
  <si>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</si>
  <si>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</si>
  <si>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</si>
  <si>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</si>
  <si>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</si>
  <si>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</si>
  <si>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</si>
  <si>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</si>
  <si>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</si>
  <si>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</si>
  <si>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</si>
  <si>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</si>
  <si>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</si>
  <si>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</si>
  <si>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</si>
  <si>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</si>
  <si>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</si>
  <si>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</si>
  <si>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</si>
  <si>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</si>
  <si>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</si>
  <si>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</si>
  <si>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</si>
  <si>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</si>
  <si>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</si>
  <si>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</si>
  <si>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</si>
  <si>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</si>
  <si>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</si>
  <si>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</si>
  <si>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</si>
  <si>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</si>
  <si>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</si>
  <si>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</si>
  <si>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</si>
  <si>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</si>
  <si>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</si>
  <si>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</si>
  <si>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</si>
  <si>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</si>
  <si>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</si>
  <si>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</si>
  <si>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</si>
  <si>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</si>
  <si>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</si>
  <si>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</si>
  <si>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</si>
  <si>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</si>
  <si>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</si>
  <si>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</si>
  <si>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</si>
  <si>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</si>
  <si>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</si>
  <si>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</si>
  <si>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</si>
  <si>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</si>
  <si>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</si>
  <si>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</si>
  <si>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</si>
  <si>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</si>
  <si>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</si>
  <si>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</si>
  <si>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</si>
  <si>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</si>
  <si>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</si>
  <si>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</si>
  <si>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</si>
  <si>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</si>
  <si>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</si>
  <si>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</si>
  <si>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</si>
  <si>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</si>
  <si>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</si>
  <si>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</si>
  <si>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</si>
  <si>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</si>
  <si>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</si>
  <si>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</si>
  <si>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</si>
  <si>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</si>
  <si>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</si>
  <si>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</si>
  <si>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</si>
  <si>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</si>
  <si>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</si>
  <si>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</si>
  <si>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</si>
  <si>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</si>
  <si>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</si>
  <si>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</si>
  <si>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</si>
  <si>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</si>
  <si>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</si>
  <si>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</si>
  <si>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</si>
  <si>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</si>
  <si>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</si>
  <si>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</si>
  <si>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</si>
  <si>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</si>
  <si>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</si>
  <si>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</si>
  <si>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</si>
  <si>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</si>
  <si>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</si>
  <si>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</si>
  <si>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</si>
  <si>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</si>
  <si>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</si>
  <si>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</si>
  <si>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</si>
  <si>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</si>
  <si>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</si>
  <si>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</si>
  <si>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</si>
  <si>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</si>
  <si>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</si>
  <si>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</si>
  <si>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</si>
  <si>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</si>
  <si>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</si>
  <si>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</si>
  <si>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</si>
  <si>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</si>
  <si>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</si>
  <si>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</si>
  <si>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</si>
  <si>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</si>
  <si>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</si>
  <si>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</si>
  <si>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</si>
  <si>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</si>
  <si>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</si>
  <si>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</si>
  <si>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</si>
  <si>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</si>
  <si>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</si>
  <si>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</si>
  <si>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</si>
  <si>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</si>
  <si>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</si>
  <si>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</si>
  <si>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</si>
  <si>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</si>
  <si>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</si>
  <si>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</si>
  <si>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</si>
  <si>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</si>
  <si>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</si>
  <si>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</si>
  <si>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</si>
  <si>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</si>
  <si>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</si>
  <si>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</si>
  <si>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</si>
  <si>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</si>
  <si>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</si>
  <si>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</si>
  <si>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</si>
  <si>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</si>
  <si>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</si>
  <si>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</si>
  <si>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</si>
  <si>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</si>
  <si>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</si>
  <si>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</si>
  <si>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</si>
  <si>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</si>
  <si>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</si>
  <si>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</si>
  <si>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</si>
  <si>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</si>
  <si>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</si>
  <si>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</si>
  <si>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</si>
  <si>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</si>
  <si>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</si>
  <si>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</si>
  <si>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</si>
  <si>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</si>
  <si>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</si>
  <si>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</si>
  <si>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</si>
  <si>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</si>
  <si>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</si>
  <si>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</si>
  <si>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</si>
  <si>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</si>
  <si>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</si>
  <si>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</si>
  <si>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</si>
  <si>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</si>
  <si>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</si>
  <si>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</si>
  <si>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</si>
  <si>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</si>
  <si>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</si>
  <si>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</si>
  <si>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</si>
  <si>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</si>
  <si>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</si>
  <si>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</si>
  <si>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</si>
  <si>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</si>
  <si>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</si>
  <si>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</si>
  <si>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</si>
  <si>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</si>
  <si>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</si>
  <si>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</si>
  <si>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</si>
  <si>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</si>
  <si>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</si>
  <si>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</si>
  <si>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</si>
  <si>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</si>
  <si>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</si>
  <si>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</si>
  <si>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</si>
  <si>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</si>
  <si>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</si>
  <si>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</si>
  <si>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</si>
  <si>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</si>
  <si>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</si>
  <si>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</si>
  <si>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</si>
  <si>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</si>
  <si>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</si>
  <si>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</si>
  <si>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</si>
  <si>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</si>
  <si>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</si>
  <si>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</si>
  <si>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</si>
  <si>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</si>
  <si>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</si>
  <si>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</si>
  <si>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</si>
  <si>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</si>
  <si>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</si>
  <si>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</si>
  <si>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</si>
  <si>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</si>
  <si>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</si>
  <si>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</si>
  <si>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</si>
  <si>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</si>
  <si>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</si>
  <si>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</si>
  <si>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</si>
  <si>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</si>
  <si>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</si>
  <si>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</si>
  <si>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</si>
  <si>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</si>
  <si>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</si>
  <si>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</si>
  <si>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</si>
  <si>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</si>
  <si>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</si>
  <si>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</si>
  <si>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</si>
  <si>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</si>
  <si>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</si>
  <si>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</si>
  <si>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</si>
  <si>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</si>
  <si>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</si>
  <si>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</si>
  <si>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</si>
  <si>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</si>
  <si>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</si>
  <si>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</si>
  <si>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</si>
  <si>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</si>
  <si>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</si>
  <si>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</si>
  <si>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</si>
  <si>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</si>
  <si>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</si>
  <si>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</si>
  <si>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</si>
  <si>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</si>
  <si>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</si>
  <si>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</si>
  <si>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</si>
  <si>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</si>
  <si>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</si>
  <si>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</si>
  <si>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</si>
  <si>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</si>
  <si>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</si>
  <si>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</si>
  <si>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</si>
  <si>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</si>
  <si>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</si>
  <si>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</si>
  <si>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</si>
  <si>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</si>
  <si>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</si>
  <si>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</si>
  <si>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</si>
  <si>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</si>
  <si>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</si>
  <si>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</si>
  <si>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</si>
  <si>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</si>
  <si>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</si>
  <si>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</si>
  <si>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</si>
  <si>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</si>
  <si>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</si>
  <si>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</si>
  <si>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</si>
  <si>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</si>
  <si>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</si>
  <si>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</si>
  <si>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</si>
  <si>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</si>
  <si>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</si>
  <si>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</si>
  <si>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</si>
  <si>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</si>
  <si>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</si>
  <si>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</si>
  <si>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</si>
  <si>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</si>
  <si>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</si>
  <si>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</si>
  <si>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</si>
  <si>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</si>
  <si>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</si>
  <si>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</si>
  <si>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</si>
  <si>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</si>
  <si>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</si>
  <si>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</si>
  <si>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</si>
  <si>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</si>
  <si>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</si>
  <si>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</si>
  <si>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</si>
  <si>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</si>
  <si>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</si>
  <si>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</si>
  <si>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</si>
  <si>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</si>
  <si>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</si>
  <si>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</si>
  <si>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</si>
  <si>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</si>
  <si>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</si>
  <si>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</si>
  <si>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</si>
  <si>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</si>
  <si>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</si>
  <si>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</si>
  <si>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</si>
  <si>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</si>
  <si>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</si>
  <si>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</si>
  <si>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</si>
  <si>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</si>
  <si>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</si>
  <si>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</si>
  <si>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</si>
  <si>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</si>
  <si>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</si>
  <si>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</si>
  <si>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</si>
  <si>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</si>
  <si>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</si>
  <si>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</si>
  <si>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</si>
  <si>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</si>
  <si>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</si>
  <si>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</si>
  <si>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</si>
  <si>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</si>
  <si>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</si>
  <si>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</si>
  <si>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</si>
  <si>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</si>
  <si>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</si>
  <si>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</si>
  <si>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</si>
  <si>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</si>
  <si>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</si>
  <si>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</si>
  <si>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</si>
  <si>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</si>
  <si>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</si>
  <si>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</si>
  <si>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</si>
  <si>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</si>
  <si>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</si>
  <si>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</si>
  <si>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</si>
  <si>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</si>
  <si>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</si>
  <si>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</si>
  <si>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</si>
  <si>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</si>
  <si>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</si>
  <si>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</si>
  <si>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</si>
  <si>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</si>
  <si>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</si>
  <si>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</si>
  <si>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</si>
  <si>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</si>
  <si>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</si>
  <si>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</si>
  <si>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</si>
  <si>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</si>
  <si>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</si>
  <si>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</si>
  <si>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</si>
  <si>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</si>
  <si>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</si>
  <si>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</si>
  <si>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</si>
  <si>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</si>
  <si>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</si>
  <si>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</si>
  <si>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</si>
  <si>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</si>
  <si>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</si>
  <si>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</si>
  <si>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</si>
  <si>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</si>
  <si>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</si>
  <si>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</si>
  <si>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</si>
  <si>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</si>
  <si>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</si>
  <si>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</si>
  <si>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</si>
  <si>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</si>
  <si>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</si>
  <si>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</si>
  <si>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</si>
  <si>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</si>
  <si>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</si>
  <si>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</si>
  <si>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</si>
  <si>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</si>
  <si>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</si>
  <si>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</si>
  <si>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</si>
  <si>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</si>
  <si>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</si>
  <si>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</si>
  <si>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</si>
  <si>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</si>
  <si>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</si>
  <si>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</si>
  <si>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</si>
  <si>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</si>
  <si>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</si>
  <si>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</si>
  <si>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</si>
  <si>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</si>
  <si>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</si>
  <si>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</si>
  <si>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</si>
  <si>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</si>
  <si>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</si>
  <si>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</si>
  <si>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</si>
  <si>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</si>
  <si>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</si>
  <si>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</si>
  <si>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</si>
  <si>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</si>
  <si>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</si>
  <si>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</si>
  <si>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</si>
  <si>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</si>
  <si>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</si>
  <si>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</si>
  <si>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</si>
  <si>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</si>
  <si>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</si>
  <si>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</si>
  <si>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</si>
  <si>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</si>
  <si>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</si>
  <si>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</si>
  <si>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</si>
  <si>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</si>
  <si>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</si>
  <si>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</si>
  <si>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</si>
  <si>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</si>
  <si>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</si>
  <si>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</si>
  <si>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</si>
  <si>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</si>
  <si>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</si>
  <si>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</si>
  <si>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</si>
  <si>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</si>
  <si>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</si>
  <si>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</si>
  <si>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</si>
  <si>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</si>
  <si>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</si>
  <si>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</si>
  <si>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</si>
  <si>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</si>
  <si>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</si>
  <si>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B2</t>
  </si>
  <si>
    <t>SUCIPTO ARIEF WIBOWO</t>
  </si>
  <si>
    <t>PEKERJAAN PEMASANGAN APP</t>
  </si>
  <si>
    <t xml:space="preserve">Jumper Wire : </t>
  </si>
  <si>
    <t>PEKERJAAN PEMASANGAN TRAFO</t>
  </si>
  <si>
    <t xml:space="preserve">KOORDINAT : </t>
  </si>
  <si>
    <t>PEKERJAAN KELENGKAPAN KONSTRUKSI</t>
  </si>
  <si>
    <t>CM2-11M</t>
  </si>
  <si>
    <t>Stainless Steel Strap 20 X 0.7 mm</t>
  </si>
  <si>
    <t>Wirosari,  Januari 2024</t>
  </si>
  <si>
    <t>Daya 11.000 VA</t>
  </si>
  <si>
    <t>Trafo 1 Fasa CSP 50 KVA (G105, G106, G136)</t>
  </si>
  <si>
    <t>NFA2X-T 2 x 70 + N 50 mm²</t>
  </si>
  <si>
    <t>PWI 14</t>
  </si>
  <si>
    <t>TSEL IBS PLOSOREJO</t>
  </si>
  <si>
    <t>DN PENJALINAN 1/7 DS PLOSOREJO</t>
  </si>
  <si>
    <t>K2-603/127/26/20</t>
  </si>
  <si>
    <t>-7,064995,110,987367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</si>
</sst>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  <family val="2"/>
    </font>
    <font>
      <sz val="16"/>
      <color rgb="FFFF0000"/>
      <name val="Calibri"/>
      <family val="2"/>
      <scheme val="minor"/>
    </font>
    <font>
      <b/>
      <sz val="11"/>
      <color rgb="FFFF0000"/>
      <name val="Monotype Corsiva"/>
      <family val="4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9" fillId="0" borderId="0" applyFont="0" applyFill="0" applyBorder="0" applyAlignment="0" applyProtection="0"/>
    <xf numFmtId="41" fontId="171" fillId="0" borderId="0" applyFont="0" applyFill="0" applyBorder="0" applyAlignment="0" applyProtection="0"/>
    <xf numFmtId="0" fontId="18" fillId="0" borderId="0"/>
    <xf numFmtId="0" fontId="173" fillId="0" borderId="0" applyNumberFormat="0" applyFill="0" applyBorder="0" applyAlignment="0" applyProtection="0"/>
  </cellStyleXfs>
  <cellXfs count="713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28" xfId="1451" applyFont="1" applyBorder="1"/>
    <xf numFmtId="0" fontId="118" fillId="0" borderId="37" xfId="1451" applyFont="1" applyBorder="1"/>
    <xf numFmtId="0" fontId="113" fillId="0" borderId="37" xfId="1451" applyFont="1" applyBorder="1" applyAlignment="1">
      <alignment vertical="center"/>
    </xf>
    <xf numFmtId="0" fontId="118" fillId="0" borderId="34" xfId="1451" applyFont="1" applyBorder="1"/>
    <xf numFmtId="0" fontId="118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12" fillId="33" borderId="0" xfId="0" applyFont="1" applyFill="1" applyAlignment="1">
      <alignment horizontal="center"/>
    </xf>
    <xf numFmtId="0" fontId="112" fillId="33" borderId="26" xfId="0" applyFont="1" applyFill="1" applyBorder="1" applyAlignment="1">
      <alignment horizontal="center"/>
    </xf>
    <xf numFmtId="0" fontId="112" fillId="33" borderId="36" xfId="0" applyFont="1" applyFill="1" applyBorder="1" applyAlignment="1">
      <alignment horizontal="center"/>
    </xf>
    <xf numFmtId="0" fontId="112" fillId="33" borderId="28" xfId="0" applyFont="1" applyFill="1" applyBorder="1" applyAlignment="1">
      <alignment horizontal="center"/>
    </xf>
    <xf numFmtId="0" fontId="113" fillId="33" borderId="18" xfId="0" applyFont="1" applyFill="1" applyBorder="1" applyAlignment="1">
      <alignment horizontal="left"/>
    </xf>
    <xf numFmtId="0" fontId="112" fillId="33" borderId="37" xfId="0" applyFont="1" applyFill="1" applyBorder="1" applyAlignment="1">
      <alignment horizontal="center"/>
    </xf>
    <xf numFmtId="0" fontId="112" fillId="33" borderId="3" xfId="0" applyFont="1" applyFill="1" applyBorder="1" applyAlignment="1">
      <alignment horizontal="center"/>
    </xf>
    <xf numFmtId="0" fontId="134" fillId="33" borderId="0" xfId="0" applyFont="1" applyFill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applyFont="1" applyFill="1" applyAlignment="1">
      <alignment horizontal="center"/>
    </xf>
    <xf numFmtId="0" fontId="112" fillId="33" borderId="38" xfId="0" applyFont="1" applyFill="1" applyBorder="1" applyAlignment="1">
      <alignment horizontal="center"/>
    </xf>
    <xf numFmtId="0" fontId="89" fillId="33" borderId="40" xfId="0" applyFont="1" applyFill="1" applyBorder="1" applyAlignment="1">
      <alignment horizontal="center" vertical="center"/>
    </xf>
    <xf numFmtId="0" fontId="89" fillId="33" borderId="47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horizontal="center" vertical="center"/>
    </xf>
    <xf numFmtId="0" fontId="112" fillId="33" borderId="39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/>
    </xf>
    <xf numFmtId="0" fontId="89" fillId="33" borderId="68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vertical="top" wrapText="1"/>
    </xf>
    <xf numFmtId="0" fontId="112" fillId="33" borderId="39" xfId="0" applyFont="1" applyFill="1" applyBorder="1" applyAlignment="1">
      <alignment vertical="top" wrapText="1"/>
    </xf>
    <xf numFmtId="0" fontId="116" fillId="33" borderId="69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top" wrapText="1"/>
    </xf>
    <xf numFmtId="49" fontId="112" fillId="33" borderId="41" xfId="0" applyNumberFormat="1" applyFont="1" applyFill="1" applyBorder="1" applyAlignment="1">
      <alignment horizontal="center" vertical="top" wrapText="1"/>
    </xf>
    <xf numFmtId="0" fontId="116" fillId="33" borderId="70" xfId="0" applyFont="1" applyFill="1" applyBorder="1" applyAlignment="1">
      <alignment horizontal="center" vertical="center"/>
    </xf>
    <xf numFmtId="0" fontId="112" fillId="33" borderId="7" xfId="0" applyFont="1" applyFill="1" applyBorder="1" applyAlignment="1">
      <alignment horizontal="center" vertical="top" wrapText="1"/>
    </xf>
    <xf numFmtId="0" fontId="112" fillId="33" borderId="41" xfId="0" applyFont="1" applyFill="1" applyBorder="1" applyAlignment="1">
      <alignment horizontal="center" vertical="top" wrapText="1"/>
    </xf>
    <xf numFmtId="0" fontId="117" fillId="33" borderId="71" xfId="0" applyFont="1" applyFill="1" applyBorder="1" applyAlignment="1">
      <alignment horizontal="center" vertical="top" wrapText="1"/>
    </xf>
    <xf numFmtId="0" fontId="117" fillId="33" borderId="72" xfId="0" applyFont="1" applyFill="1" applyBorder="1" applyAlignment="1">
      <alignment horizontal="center" vertical="top" wrapText="1"/>
    </xf>
    <xf numFmtId="0" fontId="112" fillId="33" borderId="0" xfId="0" applyFont="1" applyFill="1" applyAlignment="1">
      <alignment vertical="top" wrapText="1"/>
    </xf>
    <xf numFmtId="0" fontId="112" fillId="33" borderId="37" xfId="0" applyFont="1" applyFill="1" applyBorder="1" applyAlignment="1">
      <alignment vertical="top" wrapText="1"/>
    </xf>
    <xf numFmtId="0" fontId="112" fillId="33" borderId="42" xfId="0" applyFont="1" applyFill="1" applyBorder="1" applyAlignment="1">
      <alignment horizontal="center"/>
    </xf>
    <xf numFmtId="0" fontId="112" fillId="33" borderId="43" xfId="0" applyFont="1" applyFill="1" applyBorder="1" applyAlignment="1">
      <alignment vertical="top" wrapText="1"/>
    </xf>
    <xf numFmtId="0" fontId="112" fillId="33" borderId="44" xfId="0" applyFont="1" applyFill="1" applyBorder="1" applyAlignment="1">
      <alignment vertical="top" wrapText="1"/>
    </xf>
    <xf numFmtId="0" fontId="112" fillId="33" borderId="45" xfId="0" applyFont="1" applyFill="1" applyBorder="1" applyAlignment="1">
      <alignment vertical="top" wrapText="1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2" fillId="33" borderId="39" xfId="0" applyFont="1" applyFill="1" applyBorder="1" applyAlignment="1">
      <alignment horizontal="center"/>
    </xf>
    <xf numFmtId="20" fontId="112" fillId="33" borderId="39" xfId="0" applyNumberFormat="1" applyFont="1" applyFill="1" applyBorder="1" applyAlignment="1">
      <alignment horizontal="center"/>
    </xf>
    <xf numFmtId="0" fontId="112" fillId="33" borderId="42" xfId="0" applyFont="1" applyFill="1" applyBorder="1" applyAlignment="1">
      <alignment horizontal="center" vertical="center" wrapText="1"/>
    </xf>
    <xf numFmtId="0" fontId="117" fillId="33" borderId="34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2" fillId="33" borderId="19" xfId="0" applyFont="1" applyFill="1" applyBorder="1" applyAlignment="1">
      <alignment horizontal="center"/>
    </xf>
    <xf numFmtId="0" fontId="112" fillId="33" borderId="46" xfId="0" applyFont="1" applyFill="1" applyBorder="1" applyAlignment="1">
      <alignment horizontal="center"/>
    </xf>
    <xf numFmtId="0" fontId="144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3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right" vertical="center"/>
    </xf>
    <xf numFmtId="9" fontId="143" fillId="36" borderId="0" xfId="2671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0" fontId="143" fillId="36" borderId="0" xfId="2671" applyNumberFormat="1" applyFont="1" applyFill="1" applyBorder="1" applyAlignment="1" applyProtection="1">
      <alignment horizontal="right" vertical="center"/>
    </xf>
    <xf numFmtId="169" fontId="142" fillId="36" borderId="0" xfId="2672" applyNumberFormat="1" applyFont="1" applyFill="1" applyBorder="1" applyAlignment="1" applyProtection="1">
      <alignment horizontal="right" vertical="center"/>
    </xf>
    <xf numFmtId="0" fontId="136" fillId="0" borderId="0" xfId="2670" applyFont="1" applyAlignment="1">
      <alignment horizontal="left" vertical="center"/>
    </xf>
    <xf numFmtId="0" fontId="139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5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7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6" fillId="0" borderId="0" xfId="1614" applyFont="1" applyAlignment="1">
      <alignment horizontal="center"/>
    </xf>
    <xf numFmtId="0" fontId="147" fillId="0" borderId="0" xfId="1614" applyFont="1" applyAlignment="1">
      <alignment horizontal="center" vertical="center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49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3" fontId="146" fillId="0" borderId="0" xfId="1614" applyNumberFormat="1" applyFont="1" applyAlignment="1">
      <alignment horizontal="center"/>
    </xf>
    <xf numFmtId="0" fontId="151" fillId="0" borderId="0" xfId="1614" applyFont="1"/>
    <xf numFmtId="167" fontId="151" fillId="0" borderId="0" xfId="1652" applyNumberFormat="1" applyFont="1"/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left" vertical="center"/>
    </xf>
    <xf numFmtId="0" fontId="151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0" fontId="151" fillId="0" borderId="0" xfId="1614" applyFont="1" applyAlignment="1">
      <alignment horizontal="center" vertical="center" wrapText="1"/>
    </xf>
    <xf numFmtId="0" fontId="148" fillId="0" borderId="0" xfId="1614" applyFont="1" applyAlignment="1">
      <alignment horizontal="center" vertical="center" wrapText="1"/>
    </xf>
    <xf numFmtId="3" fontId="147" fillId="0" borderId="0" xfId="1614" applyNumberFormat="1" applyFont="1" applyAlignment="1">
      <alignment vertical="center"/>
    </xf>
    <xf numFmtId="0" fontId="148" fillId="0" borderId="20" xfId="1615" applyFont="1" applyBorder="1" applyAlignment="1">
      <alignment horizontal="center" vertical="center"/>
    </xf>
    <xf numFmtId="0" fontId="148" fillId="0" borderId="21" xfId="1615" applyFont="1" applyBorder="1" applyAlignment="1">
      <alignment horizontal="left" vertical="center" wrapText="1"/>
    </xf>
    <xf numFmtId="0" fontId="147" fillId="0" borderId="21" xfId="1614" applyFont="1" applyBorder="1" applyAlignment="1">
      <alignment horizontal="center" vertical="center" wrapText="1"/>
    </xf>
    <xf numFmtId="0" fontId="154" fillId="0" borderId="21" xfId="1614" applyFont="1" applyBorder="1" applyAlignment="1">
      <alignment horizontal="center" vertical="center"/>
    </xf>
    <xf numFmtId="3" fontId="154" fillId="0" borderId="21" xfId="1614" applyNumberFormat="1" applyFont="1" applyBorder="1" applyAlignment="1">
      <alignment horizontal="center" vertical="center"/>
    </xf>
    <xf numFmtId="3" fontId="147" fillId="0" borderId="21" xfId="1614" applyNumberFormat="1" applyFont="1" applyBorder="1" applyAlignment="1">
      <alignment horizontal="center" vertical="center"/>
    </xf>
    <xf numFmtId="3" fontId="147" fillId="0" borderId="22" xfId="1614" applyNumberFormat="1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/>
    </xf>
    <xf numFmtId="3" fontId="146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49" fillId="0" borderId="21" xfId="1653" applyFont="1" applyBorder="1" applyAlignment="1">
      <alignment horizontal="center" vertical="center"/>
    </xf>
    <xf numFmtId="0" fontId="147" fillId="0" borderId="20" xfId="1652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54" fillId="0" borderId="21" xfId="1652" applyFont="1" applyBorder="1" applyAlignment="1">
      <alignment horizontal="center" vertical="center"/>
    </xf>
    <xf numFmtId="0" fontId="154" fillId="0" borderId="49" xfId="1652" applyFont="1" applyBorder="1" applyAlignment="1">
      <alignment horizontal="center" vertical="center"/>
    </xf>
    <xf numFmtId="0" fontId="154" fillId="0" borderId="3" xfId="1652" applyFont="1" applyBorder="1" applyAlignment="1">
      <alignment vertical="center" wrapText="1"/>
    </xf>
    <xf numFmtId="0" fontId="147" fillId="0" borderId="3" xfId="1614" applyFont="1" applyBorder="1" applyAlignment="1">
      <alignment horizontal="center" vertical="center" wrapText="1"/>
    </xf>
    <xf numFmtId="0" fontId="154" fillId="0" borderId="3" xfId="1614" applyFont="1" applyBorder="1" applyAlignment="1">
      <alignment horizontal="center" vertical="center"/>
    </xf>
    <xf numFmtId="0" fontId="154" fillId="0" borderId="3" xfId="1652" applyFont="1" applyBorder="1" applyAlignment="1">
      <alignment horizontal="center" vertical="center"/>
    </xf>
    <xf numFmtId="207" fontId="154" fillId="0" borderId="3" xfId="1614" applyNumberFormat="1" applyFont="1" applyBorder="1" applyAlignment="1">
      <alignment horizontal="center" vertical="center"/>
    </xf>
    <xf numFmtId="3" fontId="147" fillId="0" borderId="3" xfId="1614" applyNumberFormat="1" applyFont="1" applyBorder="1" applyAlignment="1">
      <alignment horizontal="center" vertical="center"/>
    </xf>
    <xf numFmtId="3" fontId="147" fillId="0" borderId="39" xfId="1614" applyNumberFormat="1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47" fillId="0" borderId="23" xfId="1614" applyFont="1" applyBorder="1" applyAlignment="1">
      <alignment horizontal="center" vertical="center"/>
    </xf>
    <xf numFmtId="0" fontId="147" fillId="0" borderId="24" xfId="1614" applyFont="1" applyBorder="1" applyAlignment="1">
      <alignment horizontal="left" vertical="center"/>
    </xf>
    <xf numFmtId="0" fontId="147" fillId="0" borderId="24" xfId="1614" applyFont="1" applyBorder="1" applyAlignment="1">
      <alignment vertical="center"/>
    </xf>
    <xf numFmtId="0" fontId="154" fillId="0" borderId="24" xfId="1614" applyFont="1" applyBorder="1" applyAlignment="1">
      <alignment horizontal="center" vertical="center"/>
    </xf>
    <xf numFmtId="3" fontId="147" fillId="0" borderId="24" xfId="1614" applyNumberFormat="1" applyFont="1" applyBorder="1" applyAlignment="1">
      <alignment horizontal="center" vertical="center"/>
    </xf>
    <xf numFmtId="3" fontId="147" fillId="0" borderId="25" xfId="1614" applyNumberFormat="1" applyFont="1" applyBorder="1" applyAlignment="1">
      <alignment horizontal="center" vertical="center"/>
    </xf>
    <xf numFmtId="0" fontId="149" fillId="0" borderId="26" xfId="1614" applyFont="1" applyBorder="1" applyAlignment="1">
      <alignment horizontal="center" vertical="center"/>
    </xf>
    <xf numFmtId="37" fontId="151" fillId="0" borderId="27" xfId="1614" applyNumberFormat="1" applyFont="1" applyBorder="1" applyAlignment="1">
      <alignment horizontal="center"/>
    </xf>
    <xf numFmtId="37" fontId="149" fillId="0" borderId="27" xfId="1614" applyNumberFormat="1" applyFont="1" applyBorder="1" applyAlignment="1">
      <alignment horizontal="center"/>
    </xf>
    <xf numFmtId="0" fontId="149" fillId="0" borderId="28" xfId="1614" applyFont="1" applyBorder="1" applyAlignment="1">
      <alignment horizontal="center" vertical="center"/>
    </xf>
    <xf numFmtId="37" fontId="151" fillId="0" borderId="29" xfId="1614" applyNumberFormat="1" applyFont="1" applyBorder="1" applyAlignment="1">
      <alignment horizontal="center"/>
    </xf>
    <xf numFmtId="37" fontId="149" fillId="0" borderId="29" xfId="1614" applyNumberFormat="1" applyFont="1" applyBorder="1" applyAlignment="1">
      <alignment horizontal="center"/>
    </xf>
    <xf numFmtId="37" fontId="155" fillId="0" borderId="30" xfId="1614" applyNumberFormat="1" applyFont="1" applyBorder="1" applyAlignment="1">
      <alignment horizontal="center"/>
    </xf>
    <xf numFmtId="37" fontId="155" fillId="0" borderId="32" xfId="1614" applyNumberFormat="1" applyFont="1" applyBorder="1" applyAlignment="1">
      <alignment horizontal="center"/>
    </xf>
    <xf numFmtId="0" fontId="155" fillId="0" borderId="34" xfId="1614" applyFont="1" applyBorder="1" applyAlignment="1">
      <alignment vertical="center"/>
    </xf>
    <xf numFmtId="0" fontId="149" fillId="0" borderId="19" xfId="1614" applyFont="1" applyBorder="1"/>
    <xf numFmtId="0" fontId="149" fillId="0" borderId="19" xfId="1614" applyFont="1" applyBorder="1" applyAlignment="1">
      <alignment horizontal="center"/>
    </xf>
    <xf numFmtId="0" fontId="149" fillId="0" borderId="19" xfId="1614" applyFont="1" applyBorder="1" applyAlignment="1">
      <alignment horizontal="right"/>
    </xf>
    <xf numFmtId="0" fontId="149" fillId="0" borderId="31" xfId="1614" applyFont="1" applyBorder="1" applyAlignment="1">
      <alignment horizontal="right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165" fontId="154" fillId="0" borderId="0" xfId="1652" applyNumberFormat="1" applyFont="1" applyAlignment="1">
      <alignment vertical="center"/>
    </xf>
    <xf numFmtId="0" fontId="149" fillId="0" borderId="0" xfId="1652" applyFont="1" applyAlignment="1">
      <alignment horizontal="right"/>
    </xf>
    <xf numFmtId="0" fontId="156" fillId="0" borderId="0" xfId="1644" applyFont="1" applyAlignment="1">
      <alignment horizontal="center" vertical="center"/>
    </xf>
    <xf numFmtId="0" fontId="154" fillId="0" borderId="0" xfId="1652" applyFont="1" applyAlignment="1">
      <alignment vertical="center"/>
    </xf>
    <xf numFmtId="0" fontId="157" fillId="39" borderId="83" xfId="2670" applyFont="1" applyFill="1" applyBorder="1" applyAlignment="1">
      <alignment horizontal="left" vertical="center"/>
    </xf>
    <xf numFmtId="0" fontId="157" fillId="39" borderId="84" xfId="2670" applyFont="1" applyFill="1" applyBorder="1" applyAlignment="1">
      <alignment horizontal="center" vertical="center"/>
    </xf>
    <xf numFmtId="0" fontId="157" fillId="39" borderId="86" xfId="2670" applyFont="1" applyFill="1" applyBorder="1" applyAlignment="1">
      <alignment horizontal="left" vertical="center"/>
    </xf>
    <xf numFmtId="0" fontId="157" fillId="39" borderId="82" xfId="2670" applyFont="1" applyFill="1" applyBorder="1" applyAlignment="1">
      <alignment horizontal="center" vertical="center"/>
    </xf>
    <xf numFmtId="0" fontId="157" fillId="39" borderId="88" xfId="2670" applyFont="1" applyFill="1" applyBorder="1" applyAlignment="1">
      <alignment horizontal="left" vertical="center"/>
    </xf>
    <xf numFmtId="0" fontId="157" fillId="39" borderId="89" xfId="2670" applyFont="1" applyFill="1" applyBorder="1" applyAlignment="1">
      <alignment horizontal="center" vertical="center"/>
    </xf>
    <xf numFmtId="167" fontId="138" fillId="40" borderId="85" xfId="2672" applyFont="1" applyFill="1" applyBorder="1" applyAlignment="1" applyProtection="1">
      <alignment horizontal="right" vertical="center" wrapText="1"/>
      <protection locked="0"/>
    </xf>
    <xf numFmtId="167" fontId="138" fillId="40" borderId="87" xfId="2672" applyFont="1" applyFill="1" applyBorder="1" applyAlignment="1" applyProtection="1">
      <alignment horizontal="right" vertical="center"/>
      <protection locked="0"/>
    </xf>
    <xf numFmtId="169" fontId="138" fillId="40" borderId="87" xfId="2672" applyNumberFormat="1" applyFont="1" applyFill="1" applyBorder="1" applyAlignment="1" applyProtection="1">
      <alignment horizontal="right" vertical="center"/>
      <protection locked="0"/>
    </xf>
    <xf numFmtId="169" fontId="138" fillId="40" borderId="90" xfId="2672" applyNumberFormat="1" applyFont="1" applyFill="1" applyBorder="1" applyAlignment="1" applyProtection="1">
      <alignment horizontal="right" vertical="center"/>
      <protection locked="0"/>
    </xf>
    <xf numFmtId="0" fontId="118" fillId="0" borderId="0" xfId="1451" applyFont="1"/>
    <xf numFmtId="0" fontId="119" fillId="0" borderId="0" xfId="1451" applyFont="1" applyAlignment="1">
      <alignment vertical="center"/>
    </xf>
    <xf numFmtId="0" fontId="145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3" fillId="0" borderId="0" xfId="1451" applyFont="1" applyAlignment="1">
      <alignment vertical="center"/>
    </xf>
    <xf numFmtId="0" fontId="113" fillId="0" borderId="0" xfId="1451" applyFont="1" applyAlignment="1">
      <alignment horizontal="center" vertical="center"/>
    </xf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120" fillId="35" borderId="0" xfId="1451" applyFont="1" applyFill="1" applyAlignment="1">
      <alignment vertical="center"/>
    </xf>
    <xf numFmtId="0" fontId="123" fillId="0" borderId="19" xfId="1451" applyFont="1" applyBorder="1" applyAlignment="1">
      <alignment horizontal="center"/>
    </xf>
    <xf numFmtId="0" fontId="123" fillId="0" borderId="19" xfId="1451" applyFont="1" applyBorder="1"/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2" xfId="2673" applyFont="1" applyBorder="1" applyAlignment="1">
      <alignment horizontal="center" vertical="center" wrapText="1"/>
    </xf>
    <xf numFmtId="0" fontId="161" fillId="0" borderId="0" xfId="2673" applyFont="1" applyAlignment="1">
      <alignment horizontal="center" vertical="center" wrapText="1"/>
    </xf>
    <xf numFmtId="0" fontId="162" fillId="0" borderId="0" xfId="2673" applyFont="1" applyAlignment="1">
      <alignment vertical="center" wrapText="1"/>
    </xf>
    <xf numFmtId="0" fontId="163" fillId="0" borderId="0" xfId="2673" applyFont="1" applyAlignment="1">
      <alignment vertical="center" wrapText="1"/>
    </xf>
    <xf numFmtId="0" fontId="144" fillId="35" borderId="94" xfId="2673" applyFont="1" applyFill="1" applyBorder="1" applyAlignment="1">
      <alignment vertical="center" wrapText="1"/>
    </xf>
    <xf numFmtId="0" fontId="144" fillId="43" borderId="94" xfId="2673" applyFont="1" applyFill="1" applyBorder="1" applyAlignment="1">
      <alignment vertical="center" wrapText="1"/>
    </xf>
    <xf numFmtId="0" fontId="160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1" fontId="167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2" fillId="35" borderId="32" xfId="2673" applyFont="1" applyFill="1" applyBorder="1" applyAlignment="1">
      <alignment vertical="center" wrapText="1"/>
    </xf>
    <xf numFmtId="0" fontId="132" fillId="43" borderId="32" xfId="2673" applyFont="1" applyFill="1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2" fontId="132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4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2" fillId="0" borderId="0" xfId="2675" applyFont="1" applyFill="1" applyBorder="1" applyAlignment="1">
      <alignment horizontal="center" vertical="center" wrapText="1"/>
    </xf>
    <xf numFmtId="1" fontId="132" fillId="0" borderId="50" xfId="2673" applyNumberFormat="1" applyFont="1" applyBorder="1" applyAlignment="1">
      <alignment vertical="center" wrapText="1"/>
    </xf>
    <xf numFmtId="0" fontId="168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2" fontId="168" fillId="0" borderId="0" xfId="2673" applyNumberFormat="1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69" fillId="0" borderId="0" xfId="2673" applyFont="1" applyAlignment="1">
      <alignment vertical="center" wrapText="1"/>
    </xf>
    <xf numFmtId="0" fontId="144" fillId="35" borderId="51" xfId="2673" applyFont="1" applyFill="1" applyBorder="1" applyAlignment="1">
      <alignment vertical="center" wrapText="1"/>
    </xf>
    <xf numFmtId="0" fontId="144" fillId="0" borderId="53" xfId="2673" applyFont="1" applyBorder="1" applyAlignment="1">
      <alignment horizontal="center" vertical="center" wrapText="1"/>
    </xf>
    <xf numFmtId="0" fontId="144" fillId="35" borderId="49" xfId="2673" applyFont="1" applyFill="1" applyBorder="1" applyAlignment="1">
      <alignment vertical="center" wrapText="1"/>
    </xf>
    <xf numFmtId="1" fontId="132" fillId="0" borderId="58" xfId="2673" applyNumberFormat="1" applyFont="1" applyBorder="1" applyAlignment="1">
      <alignment vertical="center" wrapText="1"/>
    </xf>
    <xf numFmtId="0" fontId="132" fillId="35" borderId="49" xfId="2673" applyFont="1" applyFill="1" applyBorder="1" applyAlignment="1">
      <alignment vertical="center" wrapText="1"/>
    </xf>
    <xf numFmtId="0" fontId="132" fillId="35" borderId="98" xfId="2673" applyFont="1" applyFill="1" applyBorder="1" applyAlignment="1">
      <alignment vertical="center" wrapText="1"/>
    </xf>
    <xf numFmtId="0" fontId="103" fillId="0" borderId="64" xfId="2673" applyFont="1" applyBorder="1" applyAlignment="1">
      <alignment horizontal="center" vertical="center" wrapText="1"/>
    </xf>
    <xf numFmtId="0" fontId="144" fillId="0" borderId="51" xfId="2673" applyFont="1" applyBorder="1" applyAlignment="1">
      <alignment vertical="center" wrapText="1"/>
    </xf>
    <xf numFmtId="0" fontId="144" fillId="0" borderId="49" xfId="2673" applyFont="1" applyBorder="1" applyAlignment="1">
      <alignment vertical="center" wrapText="1"/>
    </xf>
    <xf numFmtId="0" fontId="132" fillId="0" borderId="49" xfId="2673" applyFont="1" applyBorder="1" applyAlignment="1">
      <alignment vertical="center" wrapText="1"/>
    </xf>
    <xf numFmtId="0" fontId="132" fillId="0" borderId="98" xfId="2673" applyFont="1" applyBorder="1" applyAlignment="1">
      <alignment vertical="center" wrapText="1"/>
    </xf>
    <xf numFmtId="167" fontId="0" fillId="45" borderId="3" xfId="1026" applyFont="1" applyFill="1" applyBorder="1" applyProtection="1">
      <protection locked="0"/>
    </xf>
    <xf numFmtId="0" fontId="7" fillId="0" borderId="21" xfId="1614" applyFont="1" applyBorder="1" applyAlignment="1">
      <alignment horizontal="center" vertical="center"/>
    </xf>
    <xf numFmtId="0" fontId="89" fillId="33" borderId="60" xfId="0" applyFont="1" applyFill="1" applyBorder="1" applyAlignment="1">
      <alignment horizontal="left" vertical="center"/>
    </xf>
    <xf numFmtId="0" fontId="89" fillId="33" borderId="61" xfId="0" applyFont="1" applyFill="1" applyBorder="1" applyAlignment="1">
      <alignment horizontal="left" vertical="center"/>
    </xf>
    <xf numFmtId="49" fontId="89" fillId="33" borderId="60" xfId="0" applyNumberFormat="1" applyFont="1" applyFill="1" applyBorder="1" applyAlignment="1">
      <alignment horizontal="left" vertical="center" wrapText="1"/>
    </xf>
    <xf numFmtId="49" fontId="89" fillId="33" borderId="61" xfId="0" applyNumberFormat="1" applyFont="1" applyFill="1" applyBorder="1" applyAlignment="1">
      <alignment horizontal="left" vertical="center"/>
    </xf>
    <xf numFmtId="41" fontId="150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0" fontId="113" fillId="33" borderId="0" xfId="0" applyFont="1" applyFill="1" applyAlignment="1">
      <alignment horizontal="left"/>
    </xf>
    <xf numFmtId="169" fontId="142" fillId="46" borderId="0" xfId="2672" applyNumberFormat="1" applyFont="1" applyFill="1" applyBorder="1" applyAlignment="1" applyProtection="1">
      <alignment horizontal="right" vertical="center"/>
    </xf>
    <xf numFmtId="0" fontId="172" fillId="0" borderId="69" xfId="1450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117" fillId="0" borderId="99" xfId="1450" applyFont="1" applyBorder="1" applyAlignment="1">
      <alignment horizontal="center" vertical="center"/>
    </xf>
    <xf numFmtId="0" fontId="173" fillId="33" borderId="0" xfId="2678" applyFill="1"/>
    <xf numFmtId="0" fontId="112" fillId="33" borderId="0" xfId="0" applyFont="1" applyFill="1" applyAlignment="1">
      <alignment vertical="center" wrapText="1"/>
    </xf>
    <xf numFmtId="0" fontId="112" fillId="33" borderId="37" xfId="0" applyFont="1" applyFill="1" applyBorder="1" applyAlignment="1">
      <alignment vertical="center" wrapText="1"/>
    </xf>
    <xf numFmtId="0" fontId="112" fillId="33" borderId="44" xfId="0" applyFont="1" applyFill="1" applyBorder="1" applyAlignment="1">
      <alignment vertical="center" wrapText="1"/>
    </xf>
    <xf numFmtId="0" fontId="112" fillId="33" borderId="45" xfId="0" applyFont="1" applyFill="1" applyBorder="1" applyAlignment="1">
      <alignment vertical="center" wrapText="1"/>
    </xf>
    <xf numFmtId="0" fontId="112" fillId="33" borderId="18" xfId="0" applyFont="1" applyFill="1" applyBorder="1" applyAlignment="1">
      <alignment vertical="center" wrapText="1"/>
    </xf>
    <xf numFmtId="0" fontId="112" fillId="33" borderId="43" xfId="0" applyFont="1" applyFill="1" applyBorder="1" applyAlignment="1">
      <alignment vertical="center" wrapText="1"/>
    </xf>
    <xf numFmtId="0" fontId="40" fillId="0" borderId="21" xfId="1615" applyNumberFormat="1" applyFont="1" applyFill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0" fillId="0" borderId="20" xfId="1615" applyFont="1" applyFill="1" applyBorder="1" applyAlignment="1">
      <alignment horizontal="center" vertical="center"/>
    </xf>
    <xf numFmtId="0" fontId="7" fillId="0" borderId="21" xfId="1614" applyFont="1" applyFill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0" fontId="111" fillId="0" borderId="20" xfId="1652" applyFont="1" applyFill="1" applyBorder="1" applyAlignment="1">
      <alignment horizontal="center" vertical="center"/>
    </xf>
    <xf numFmtId="0" fontId="7" fillId="0" borderId="21" xfId="1614" applyFont="1" applyFill="1" applyBorder="1" applyAlignment="1">
      <alignment horizontal="center" vertical="center" wrapText="1"/>
    </xf>
    <xf numFmtId="0" fontId="41" fillId="0" borderId="21" xfId="0" applyFont="1" applyFill="1" applyBorder="1" applyAlignment="1">
      <alignment horizontal="left" vertical="center" wrapText="1"/>
    </xf>
    <xf numFmtId="3" fontId="7" fillId="0" borderId="21" xfId="1599" applyNumberFormat="1" applyFont="1" applyFill="1" applyBorder="1" applyAlignment="1">
      <alignment horizontal="center" vertical="center"/>
    </xf>
    <xf numFmtId="41" fontId="150" fillId="0" borderId="0" xfId="1614" applyNumberFormat="1" applyFont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74" fillId="33" borderId="0" xfId="0" quotePrefix="1" applyFont="1" applyFill="1" applyAlignment="1">
      <alignment horizontal="center"/>
    </xf>
    <xf numFmtId="0" fontId="41" fillId="0" borderId="21" xfId="1450" applyFont="1" applyFill="1" applyBorder="1" applyAlignment="1">
      <alignment vertical="center" wrapText="1"/>
    </xf>
    <xf numFmtId="0" fontId="111" fillId="0" borderId="21" xfId="1652" applyFont="1" applyFill="1" applyBorder="1" applyAlignment="1">
      <alignment vertical="center"/>
    </xf>
    <xf numFmtId="14" fontId="93" fillId="0" borderId="0" xfId="1653" applyNumberFormat="1" applyFont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75" fillId="0" borderId="0" xfId="2673" applyFont="1" applyAlignment="1">
      <alignment vertical="center" wrapText="1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7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0" fontId="49" fillId="0" borderId="3" xfId="1614" applyFont="1" applyBorder="1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5" fillId="0" borderId="96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97" xfId="2673" applyBorder="1" applyAlignment="1">
      <alignment horizontal="center" vertical="center" wrapText="1"/>
    </xf>
    <xf numFmtId="9" fontId="168" fillId="0" borderId="0" xfId="2675" applyFont="1" applyFill="1" applyBorder="1" applyAlignment="1">
      <alignment horizontal="center" vertical="center" wrapText="1"/>
    </xf>
    <xf numFmtId="0" fontId="165" fillId="37" borderId="0" xfId="2673" applyFont="1" applyFill="1" applyAlignment="1">
      <alignment horizontal="left" vertical="center" wrapText="1"/>
    </xf>
    <xf numFmtId="43" fontId="144" fillId="35" borderId="7" xfId="2673" applyNumberFormat="1" applyFont="1" applyFill="1" applyBorder="1" applyAlignment="1">
      <alignment horizontal="center" vertical="center" wrapText="1"/>
    </xf>
    <xf numFmtId="0" fontId="144" fillId="35" borderId="58" xfId="2673" applyFont="1" applyFill="1" applyBorder="1" applyAlignment="1">
      <alignment horizontal="center" vertical="center" wrapText="1"/>
    </xf>
    <xf numFmtId="2" fontId="132" fillId="35" borderId="62" xfId="2673" applyNumberFormat="1" applyFont="1" applyFill="1" applyBorder="1" applyAlignment="1">
      <alignment horizontal="center" vertical="center" wrapText="1"/>
    </xf>
    <xf numFmtId="2" fontId="132" fillId="35" borderId="95" xfId="2673" applyNumberFormat="1" applyFont="1" applyFill="1" applyBorder="1" applyAlignment="1">
      <alignment horizontal="center" vertical="center" wrapText="1"/>
    </xf>
    <xf numFmtId="0" fontId="161" fillId="41" borderId="91" xfId="2673" applyFont="1" applyFill="1" applyBorder="1" applyAlignment="1">
      <alignment horizontal="center" vertical="center" wrapText="1"/>
    </xf>
    <xf numFmtId="0" fontId="161" fillId="41" borderId="92" xfId="2673" applyFont="1" applyFill="1" applyBorder="1" applyAlignment="1">
      <alignment horizontal="center" vertical="center" wrapText="1"/>
    </xf>
    <xf numFmtId="0" fontId="161" fillId="41" borderId="93" xfId="2673" applyFont="1" applyFill="1" applyBorder="1" applyAlignment="1">
      <alignment horizontal="center" vertical="center" wrapText="1"/>
    </xf>
    <xf numFmtId="0" fontId="132" fillId="35" borderId="7" xfId="2673" applyFont="1" applyFill="1" applyBorder="1" applyAlignment="1">
      <alignment horizontal="center" vertical="center" wrapText="1"/>
    </xf>
    <xf numFmtId="0" fontId="132" fillId="35" borderId="58" xfId="2673" applyFont="1" applyFill="1" applyBorder="1" applyAlignment="1">
      <alignment horizontal="center" vertical="center" wrapText="1"/>
    </xf>
    <xf numFmtId="1" fontId="144" fillId="35" borderId="7" xfId="2673" applyNumberFormat="1" applyFont="1" applyFill="1" applyBorder="1" applyAlignment="1">
      <alignment horizontal="center" vertical="center" wrapText="1"/>
    </xf>
    <xf numFmtId="1" fontId="144" fillId="35" borderId="58" xfId="2673" applyNumberFormat="1" applyFont="1" applyFill="1" applyBorder="1" applyAlignment="1">
      <alignment horizontal="center" vertical="center" wrapText="1"/>
    </xf>
    <xf numFmtId="43" fontId="144" fillId="0" borderId="53" xfId="2673" applyNumberFormat="1" applyFont="1" applyBorder="1" applyAlignment="1">
      <alignment horizontal="center" vertical="center" wrapText="1"/>
    </xf>
    <xf numFmtId="0" fontId="144" fillId="0" borderId="54" xfId="2673" applyFont="1" applyBorder="1" applyAlignment="1">
      <alignment horizontal="center" vertical="center" wrapText="1"/>
    </xf>
    <xf numFmtId="9" fontId="132" fillId="0" borderId="64" xfId="2675" applyFont="1" applyFill="1" applyBorder="1" applyAlignment="1">
      <alignment horizontal="center" vertical="center" wrapText="1"/>
    </xf>
    <xf numFmtId="9" fontId="132" fillId="0" borderId="65" xfId="2675" applyFont="1" applyFill="1" applyBorder="1" applyAlignment="1">
      <alignment horizontal="center" vertical="center" wrapText="1"/>
    </xf>
    <xf numFmtId="1" fontId="144" fillId="0" borderId="3" xfId="2673" applyNumberFormat="1" applyFont="1" applyBorder="1" applyAlignment="1">
      <alignment horizontal="center" vertical="center" wrapText="1"/>
    </xf>
    <xf numFmtId="1" fontId="144" fillId="0" borderId="39" xfId="2673" applyNumberFormat="1" applyFont="1" applyBorder="1" applyAlignment="1">
      <alignment horizontal="center" vertical="center" wrapText="1"/>
    </xf>
    <xf numFmtId="2" fontId="132" fillId="0" borderId="3" xfId="2673" applyNumberFormat="1" applyFont="1" applyBorder="1" applyAlignment="1">
      <alignment horizontal="center" vertical="center" wrapText="1"/>
    </xf>
    <xf numFmtId="2" fontId="132" fillId="0" borderId="39" xfId="2673" applyNumberFormat="1" applyFont="1" applyBorder="1" applyAlignment="1">
      <alignment horizontal="center" vertical="center" wrapText="1"/>
    </xf>
    <xf numFmtId="9" fontId="132" fillId="35" borderId="64" xfId="2675" applyFont="1" applyFill="1" applyBorder="1" applyAlignment="1">
      <alignment horizontal="center" vertical="center" wrapText="1"/>
    </xf>
    <xf numFmtId="9" fontId="132" fillId="35" borderId="65" xfId="2675" applyFont="1" applyFill="1" applyBorder="1" applyAlignment="1">
      <alignment horizontal="center" vertical="center" wrapText="1"/>
    </xf>
    <xf numFmtId="2" fontId="132" fillId="35" borderId="3" xfId="2673" applyNumberFormat="1" applyFont="1" applyFill="1" applyBorder="1" applyAlignment="1">
      <alignment horizontal="center" vertical="center" wrapText="1"/>
    </xf>
    <xf numFmtId="2" fontId="132" fillId="35" borderId="39" xfId="2673" applyNumberFormat="1" applyFont="1" applyFill="1" applyBorder="1" applyAlignment="1">
      <alignment horizontal="center" vertical="center" wrapText="1"/>
    </xf>
    <xf numFmtId="0" fontId="164" fillId="0" borderId="50" xfId="2673" applyFont="1" applyBorder="1" applyAlignment="1">
      <alignment horizontal="center" vertical="center" wrapText="1"/>
    </xf>
    <xf numFmtId="0" fontId="164" fillId="0" borderId="58" xfId="2673" applyFont="1" applyBorder="1" applyAlignment="1">
      <alignment horizontal="center" vertical="center" wrapText="1"/>
    </xf>
    <xf numFmtId="1" fontId="132" fillId="0" borderId="3" xfId="2673" applyNumberFormat="1" applyFont="1" applyBorder="1" applyAlignment="1">
      <alignment horizontal="center" vertical="center" wrapText="1"/>
    </xf>
    <xf numFmtId="1" fontId="132" fillId="0" borderId="39" xfId="2673" applyNumberFormat="1" applyFont="1" applyBorder="1" applyAlignment="1">
      <alignment horizontal="center" vertical="center" wrapText="1"/>
    </xf>
    <xf numFmtId="2" fontId="132" fillId="44" borderId="3" xfId="2673" applyNumberFormat="1" applyFont="1" applyFill="1" applyBorder="1" applyAlignment="1">
      <alignment horizontal="center" vertical="center" wrapText="1"/>
    </xf>
    <xf numFmtId="2" fontId="132" fillId="44" borderId="39" xfId="2673" applyNumberFormat="1" applyFont="1" applyFill="1" applyBorder="1" applyAlignment="1">
      <alignment horizontal="center" vertical="center" wrapText="1"/>
    </xf>
    <xf numFmtId="0" fontId="161" fillId="42" borderId="91" xfId="2673" applyFont="1" applyFill="1" applyBorder="1" applyAlignment="1">
      <alignment horizontal="center" vertical="center" wrapText="1"/>
    </xf>
    <xf numFmtId="0" fontId="161" fillId="42" borderId="92" xfId="2673" applyFont="1" applyFill="1" applyBorder="1" applyAlignment="1">
      <alignment horizontal="center" vertical="center" wrapText="1"/>
    </xf>
    <xf numFmtId="0" fontId="161" fillId="42" borderId="93" xfId="2673" applyFont="1" applyFill="1" applyBorder="1" applyAlignment="1">
      <alignment horizontal="center" vertical="center" wrapText="1"/>
    </xf>
    <xf numFmtId="43" fontId="144" fillId="43" borderId="7" xfId="2673" applyNumberFormat="1" applyFont="1" applyFill="1" applyBorder="1" applyAlignment="1">
      <alignment horizontal="center" vertical="center" wrapText="1"/>
    </xf>
    <xf numFmtId="0" fontId="144" fillId="43" borderId="58" xfId="2673" applyFont="1" applyFill="1" applyBorder="1" applyAlignment="1">
      <alignment horizontal="center" vertical="center" wrapText="1"/>
    </xf>
    <xf numFmtId="1" fontId="132" fillId="43" borderId="7" xfId="2673" applyNumberFormat="1" applyFont="1" applyFill="1" applyBorder="1" applyAlignment="1">
      <alignment horizontal="center" vertical="center" wrapText="1"/>
    </xf>
    <xf numFmtId="1" fontId="132" fillId="43" borderId="58" xfId="2673" applyNumberFormat="1" applyFont="1" applyFill="1" applyBorder="1" applyAlignment="1">
      <alignment horizontal="center" vertical="center" wrapText="1"/>
    </xf>
    <xf numFmtId="0" fontId="132" fillId="43" borderId="7" xfId="2673" applyFont="1" applyFill="1" applyBorder="1" applyAlignment="1">
      <alignment horizontal="center" vertical="center" wrapText="1"/>
    </xf>
    <xf numFmtId="0" fontId="132" fillId="43" borderId="58" xfId="2673" applyFont="1" applyFill="1" applyBorder="1" applyAlignment="1">
      <alignment horizontal="center" vertical="center" wrapText="1"/>
    </xf>
    <xf numFmtId="2" fontId="132" fillId="43" borderId="62" xfId="2673" applyNumberFormat="1" applyFont="1" applyFill="1" applyBorder="1" applyAlignment="1">
      <alignment horizontal="center" vertical="center" wrapText="1"/>
    </xf>
    <xf numFmtId="2" fontId="132" fillId="43" borderId="95" xfId="2673" applyNumberFormat="1" applyFont="1" applyFill="1" applyBorder="1" applyAlignment="1">
      <alignment horizontal="center" vertical="center" wrapText="1"/>
    </xf>
    <xf numFmtId="0" fontId="6" fillId="34" borderId="77" xfId="2670" applyFill="1" applyBorder="1" applyAlignment="1">
      <alignment horizontal="center" vertical="center"/>
    </xf>
    <xf numFmtId="0" fontId="136" fillId="0" borderId="78" xfId="2670" applyFont="1" applyBorder="1" applyAlignment="1">
      <alignment horizontal="left" vertical="center"/>
    </xf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horizontal="center" vertical="center"/>
    </xf>
    <xf numFmtId="0" fontId="109" fillId="38" borderId="3" xfId="1538" applyFill="1" applyBorder="1" applyAlignment="1">
      <alignment horizontal="center" vertical="center" wrapText="1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51" fillId="30" borderId="3" xfId="1614" applyFont="1" applyFill="1" applyBorder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37" fontId="149" fillId="0" borderId="36" xfId="1614" applyNumberFormat="1" applyFont="1" applyBorder="1" applyAlignment="1">
      <alignment horizontal="center"/>
    </xf>
    <xf numFmtId="0" fontId="153" fillId="35" borderId="51" xfId="1614" applyFont="1" applyFill="1" applyBorder="1" applyAlignment="1">
      <alignment horizontal="center" vertical="center"/>
    </xf>
    <xf numFmtId="0" fontId="153" fillId="35" borderId="49" xfId="1614" applyFont="1" applyFill="1" applyBorder="1" applyAlignment="1">
      <alignment horizontal="center" vertical="center"/>
    </xf>
    <xf numFmtId="0" fontId="153" fillId="35" borderId="52" xfId="1614" applyFont="1" applyFill="1" applyBorder="1" applyAlignment="1">
      <alignment horizontal="center" vertical="center"/>
    </xf>
    <xf numFmtId="0" fontId="153" fillId="35" borderId="21" xfId="1614" applyFont="1" applyFill="1" applyBorder="1" applyAlignment="1">
      <alignment horizontal="center" vertical="center"/>
    </xf>
    <xf numFmtId="0" fontId="153" fillId="35" borderId="33" xfId="1614" applyFont="1" applyFill="1" applyBorder="1" applyAlignment="1">
      <alignment horizontal="center" vertical="center"/>
    </xf>
    <xf numFmtId="0" fontId="153" fillId="35" borderId="53" xfId="1614" applyFont="1" applyFill="1" applyBorder="1" applyAlignment="1">
      <alignment horizontal="center" vertical="center"/>
    </xf>
    <xf numFmtId="0" fontId="153" fillId="35" borderId="3" xfId="1614" applyFont="1" applyFill="1" applyBorder="1" applyAlignment="1">
      <alignment horizontal="center" vertical="center"/>
    </xf>
    <xf numFmtId="0" fontId="153" fillId="35" borderId="52" xfId="1614" applyFont="1" applyFill="1" applyBorder="1" applyAlignment="1">
      <alignment horizontal="center" vertical="center" wrapText="1"/>
    </xf>
    <xf numFmtId="0" fontId="153" fillId="35" borderId="21" xfId="1614" applyFont="1" applyFill="1" applyBorder="1" applyAlignment="1">
      <alignment horizontal="center" vertical="center" wrapText="1"/>
    </xf>
    <xf numFmtId="0" fontId="153" fillId="35" borderId="33" xfId="1614" applyFont="1" applyFill="1" applyBorder="1" applyAlignment="1">
      <alignment horizontal="center" vertical="center" wrapText="1"/>
    </xf>
    <xf numFmtId="0" fontId="153" fillId="35" borderId="35" xfId="1652" applyFont="1" applyFill="1" applyBorder="1" applyAlignment="1">
      <alignment horizontal="center" vertical="center" wrapText="1"/>
    </xf>
    <xf numFmtId="0" fontId="153" fillId="35" borderId="33" xfId="1652" applyFont="1" applyFill="1" applyBorder="1" applyAlignment="1">
      <alignment horizontal="center" vertical="center" wrapText="1"/>
    </xf>
    <xf numFmtId="0" fontId="148" fillId="0" borderId="0" xfId="1644" applyFont="1" applyAlignment="1">
      <alignment horizontal="center" vertical="center"/>
    </xf>
    <xf numFmtId="37" fontId="155" fillId="0" borderId="19" xfId="1614" applyNumberFormat="1" applyFont="1" applyBorder="1" applyAlignment="1">
      <alignment horizontal="center"/>
    </xf>
    <xf numFmtId="167" fontId="151" fillId="0" borderId="0" xfId="1614" applyNumberFormat="1" applyFont="1" applyAlignment="1">
      <alignment horizontal="left" vertical="top" wrapText="1"/>
    </xf>
    <xf numFmtId="0" fontId="151" fillId="0" borderId="0" xfId="1614" applyFont="1" applyAlignment="1">
      <alignment horizontal="left" vertical="top" wrapText="1"/>
    </xf>
    <xf numFmtId="37" fontId="149" fillId="0" borderId="0" xfId="1614" applyNumberFormat="1" applyFont="1" applyAlignment="1">
      <alignment horizontal="center"/>
    </xf>
    <xf numFmtId="0" fontId="170" fillId="0" borderId="26" xfId="1614" applyFont="1" applyBorder="1" applyAlignment="1">
      <alignment horizontal="left" vertical="center" wrapText="1"/>
    </xf>
    <xf numFmtId="0" fontId="170" fillId="0" borderId="36" xfId="1614" applyFont="1" applyBorder="1" applyAlignment="1">
      <alignment horizontal="left" vertical="center" wrapText="1"/>
    </xf>
    <xf numFmtId="0" fontId="170" fillId="0" borderId="48" xfId="1614" applyFont="1" applyBorder="1" applyAlignment="1">
      <alignment horizontal="left" vertical="center" wrapText="1"/>
    </xf>
    <xf numFmtId="0" fontId="170" fillId="0" borderId="28" xfId="1614" applyFont="1" applyBorder="1" applyAlignment="1">
      <alignment horizontal="left" vertical="center" wrapText="1"/>
    </xf>
    <xf numFmtId="0" fontId="170" fillId="0" borderId="0" xfId="1614" applyFont="1" applyAlignment="1">
      <alignment horizontal="left" vertical="center" wrapText="1"/>
    </xf>
    <xf numFmtId="0" fontId="170" fillId="0" borderId="37" xfId="1614" applyFont="1" applyBorder="1" applyAlignment="1">
      <alignment horizontal="left" vertical="center" wrapText="1"/>
    </xf>
    <xf numFmtId="0" fontId="154" fillId="0" borderId="0" xfId="1652" applyFont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0" fontId="153" fillId="35" borderId="54" xfId="1614" applyFont="1" applyFill="1" applyBorder="1" applyAlignment="1">
      <alignment horizontal="center" vertical="center"/>
    </xf>
    <xf numFmtId="0" fontId="153" fillId="35" borderId="39" xfId="1614" applyFont="1" applyFill="1" applyBorder="1" applyAlignment="1">
      <alignment horizontal="center" vertical="center"/>
    </xf>
    <xf numFmtId="0" fontId="128" fillId="35" borderId="55" xfId="0" applyFont="1" applyFill="1" applyBorder="1" applyAlignment="1">
      <alignment horizontal="center" vertical="center"/>
    </xf>
    <xf numFmtId="0" fontId="128" fillId="35" borderId="36" xfId="0" applyFont="1" applyFill="1" applyBorder="1" applyAlignment="1">
      <alignment horizontal="center" vertical="center"/>
    </xf>
    <xf numFmtId="0" fontId="128" fillId="35" borderId="48" xfId="0" applyFont="1" applyFill="1" applyBorder="1" applyAlignment="1">
      <alignment horizontal="center" vertical="center"/>
    </xf>
    <xf numFmtId="0" fontId="128" fillId="35" borderId="43" xfId="0" applyFont="1" applyFill="1" applyBorder="1" applyAlignment="1">
      <alignment horizontal="center" vertical="center"/>
    </xf>
    <xf numFmtId="0" fontId="128" fillId="35" borderId="44" xfId="0" applyFont="1" applyFill="1" applyBorder="1" applyAlignment="1">
      <alignment horizontal="center" vertical="center"/>
    </xf>
    <xf numFmtId="0" fontId="128" fillId="35" borderId="45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horizontal="center"/>
    </xf>
    <xf numFmtId="0" fontId="112" fillId="33" borderId="39" xfId="0" applyFont="1" applyFill="1" applyBorder="1" applyAlignment="1">
      <alignment horizontal="center"/>
    </xf>
    <xf numFmtId="0" fontId="113" fillId="33" borderId="18" xfId="0" applyFont="1" applyFill="1" applyBorder="1" applyAlignment="1">
      <alignment horizontal="left"/>
    </xf>
    <xf numFmtId="0" fontId="113" fillId="33" borderId="0" xfId="0" applyFont="1" applyFill="1" applyAlignment="1">
      <alignment horizontal="left"/>
    </xf>
    <xf numFmtId="0" fontId="113" fillId="33" borderId="37" xfId="0" applyFont="1" applyFill="1" applyBorder="1" applyAlignment="1">
      <alignment horizontal="left"/>
    </xf>
    <xf numFmtId="0" fontId="129" fillId="33" borderId="50" xfId="0" applyFont="1" applyFill="1" applyBorder="1" applyAlignment="1">
      <alignment horizontal="center" vertical="center"/>
    </xf>
    <xf numFmtId="0" fontId="129" fillId="33" borderId="7" xfId="0" applyFont="1" applyFill="1" applyBorder="1" applyAlignment="1">
      <alignment horizontal="center" vertical="center"/>
    </xf>
    <xf numFmtId="0" fontId="129" fillId="33" borderId="41" xfId="0" applyFont="1" applyFill="1" applyBorder="1" applyAlignment="1">
      <alignment horizontal="center" vertical="center"/>
    </xf>
    <xf numFmtId="0" fontId="113" fillId="33" borderId="5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center"/>
    </xf>
    <xf numFmtId="0" fontId="113" fillId="33" borderId="58" xfId="0" applyFont="1" applyFill="1" applyBorder="1" applyAlignment="1">
      <alignment horizontal="center" vertical="center"/>
    </xf>
    <xf numFmtId="208" fontId="117" fillId="0" borderId="73" xfId="1450" applyNumberFormat="1" applyFont="1" applyBorder="1" applyAlignment="1">
      <alignment horizontal="left" vertical="center"/>
    </xf>
    <xf numFmtId="208" fontId="172" fillId="0" borderId="74" xfId="1450" applyNumberFormat="1" applyFont="1" applyBorder="1" applyAlignment="1">
      <alignment horizontal="left" vertical="center"/>
    </xf>
    <xf numFmtId="49" fontId="130" fillId="33" borderId="59" xfId="0" applyNumberFormat="1" applyFont="1" applyFill="1" applyBorder="1" applyAlignment="1">
      <alignment horizontal="left" vertical="center"/>
    </xf>
    <xf numFmtId="49" fontId="130" fillId="33" borderId="40" xfId="0" applyNumberFormat="1" applyFont="1" applyFill="1" applyBorder="1" applyAlignment="1">
      <alignment horizontal="left" vertical="center"/>
    </xf>
    <xf numFmtId="49" fontId="112" fillId="33" borderId="50" xfId="0" applyNumberFormat="1" applyFont="1" applyFill="1" applyBorder="1" applyAlignment="1">
      <alignment horizontal="left" vertical="center"/>
    </xf>
    <xf numFmtId="49" fontId="112" fillId="33" borderId="41" xfId="0" applyNumberFormat="1" applyFont="1" applyFill="1" applyBorder="1" applyAlignment="1">
      <alignment horizontal="left" vertical="center"/>
    </xf>
    <xf numFmtId="0" fontId="112" fillId="33" borderId="56" xfId="0" applyFont="1" applyFill="1" applyBorder="1" applyAlignment="1">
      <alignment horizontal="center"/>
    </xf>
    <xf numFmtId="0" fontId="112" fillId="33" borderId="57" xfId="0" applyFont="1" applyFill="1" applyBorder="1" applyAlignment="1">
      <alignment horizontal="center"/>
    </xf>
    <xf numFmtId="49" fontId="112" fillId="33" borderId="50" xfId="0" applyNumberFormat="1" applyFont="1" applyFill="1" applyBorder="1" applyAlignment="1">
      <alignment horizontal="center" vertical="center"/>
    </xf>
    <xf numFmtId="49" fontId="112" fillId="33" borderId="41" xfId="0" applyNumberFormat="1" applyFont="1" applyFill="1" applyBorder="1" applyAlignment="1">
      <alignment horizontal="center" vertical="center"/>
    </xf>
    <xf numFmtId="0" fontId="89" fillId="33" borderId="60" xfId="0" applyFont="1" applyFill="1" applyBorder="1" applyAlignment="1">
      <alignment horizontal="left" vertical="center"/>
    </xf>
    <xf numFmtId="0" fontId="89" fillId="33" borderId="79" xfId="0" applyFont="1" applyFill="1" applyBorder="1" applyAlignment="1">
      <alignment horizontal="left" vertical="center"/>
    </xf>
    <xf numFmtId="0" fontId="130" fillId="33" borderId="60" xfId="0" applyFont="1" applyFill="1" applyBorder="1" applyAlignment="1">
      <alignment horizontal="left" vertical="center"/>
    </xf>
    <xf numFmtId="0" fontId="130" fillId="33" borderId="61" xfId="0" applyFont="1" applyFill="1" applyBorder="1" applyAlignment="1">
      <alignment horizontal="left" vertical="center"/>
    </xf>
    <xf numFmtId="0" fontId="89" fillId="33" borderId="80" xfId="0" applyFont="1" applyFill="1" applyBorder="1" applyAlignment="1">
      <alignment horizontal="center" vertical="center"/>
    </xf>
    <xf numFmtId="0" fontId="89" fillId="33" borderId="81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center"/>
    </xf>
    <xf numFmtId="0" fontId="116" fillId="33" borderId="73" xfId="0" applyFont="1" applyFill="1" applyBorder="1" applyAlignment="1">
      <alignment horizontal="center" vertical="center"/>
    </xf>
    <xf numFmtId="0" fontId="116" fillId="33" borderId="74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top" wrapText="1"/>
    </xf>
    <xf numFmtId="49" fontId="112" fillId="33" borderId="41" xfId="0" applyNumberFormat="1" applyFont="1" applyFill="1" applyBorder="1" applyAlignment="1">
      <alignment horizontal="center" vertical="top" wrapText="1"/>
    </xf>
    <xf numFmtId="0" fontId="112" fillId="33" borderId="7" xfId="0" applyFont="1" applyFill="1" applyBorder="1" applyAlignment="1">
      <alignment horizontal="center" vertical="top" wrapText="1"/>
    </xf>
    <xf numFmtId="0" fontId="112" fillId="33" borderId="41" xfId="0" applyFont="1" applyFill="1" applyBorder="1" applyAlignment="1">
      <alignment horizontal="center" vertical="top" wrapText="1"/>
    </xf>
    <xf numFmtId="0" fontId="89" fillId="33" borderId="61" xfId="0" applyFont="1" applyFill="1" applyBorder="1" applyAlignment="1">
      <alignment horizontal="left" vertical="center"/>
    </xf>
    <xf numFmtId="0" fontId="112" fillId="33" borderId="7" xfId="0" applyFont="1" applyFill="1" applyBorder="1" applyAlignment="1">
      <alignment horizontal="center"/>
    </xf>
    <xf numFmtId="0" fontId="112" fillId="33" borderId="41" xfId="0" applyFont="1" applyFill="1" applyBorder="1" applyAlignment="1">
      <alignment horizontal="center"/>
    </xf>
    <xf numFmtId="15" fontId="112" fillId="33" borderId="3" xfId="0" applyNumberFormat="1" applyFont="1" applyFill="1" applyBorder="1" applyAlignment="1">
      <alignment horizontal="center"/>
    </xf>
    <xf numFmtId="0" fontId="89" fillId="33" borderId="59" xfId="0" applyFont="1" applyFill="1" applyBorder="1" applyAlignment="1">
      <alignment horizontal="center" vertical="center"/>
    </xf>
    <xf numFmtId="0" fontId="89" fillId="33" borderId="40" xfId="0" applyFont="1" applyFill="1" applyBorder="1" applyAlignment="1">
      <alignment horizontal="center" vertical="center"/>
    </xf>
    <xf numFmtId="0" fontId="117" fillId="33" borderId="75" xfId="0" applyFont="1" applyFill="1" applyBorder="1" applyAlignment="1">
      <alignment horizontal="center" vertical="center" wrapText="1"/>
    </xf>
    <xf numFmtId="0" fontId="117" fillId="33" borderId="76" xfId="0" applyFont="1" applyFill="1" applyBorder="1" applyAlignment="1">
      <alignment horizontal="center" vertical="center" wrapText="1"/>
    </xf>
    <xf numFmtId="0" fontId="113" fillId="33" borderId="18" xfId="0" applyFont="1" applyFill="1" applyBorder="1" applyAlignment="1">
      <alignment horizontal="left" vertical="top" wrapText="1"/>
    </xf>
    <xf numFmtId="0" fontId="113" fillId="33" borderId="0" xfId="0" applyFont="1" applyFill="1" applyAlignment="1">
      <alignment horizontal="left" vertical="top" wrapText="1"/>
    </xf>
    <xf numFmtId="0" fontId="112" fillId="33" borderId="64" xfId="0" applyFont="1" applyFill="1" applyBorder="1" applyAlignment="1">
      <alignment horizontal="center"/>
    </xf>
    <xf numFmtId="0" fontId="112" fillId="33" borderId="62" xfId="0" applyFont="1" applyFill="1" applyBorder="1" applyAlignment="1">
      <alignment horizontal="center"/>
    </xf>
    <xf numFmtId="0" fontId="112" fillId="33" borderId="63" xfId="0" applyFont="1" applyFill="1" applyBorder="1" applyAlignment="1">
      <alignment horizontal="center"/>
    </xf>
    <xf numFmtId="0" fontId="112" fillId="33" borderId="65" xfId="0" applyFont="1" applyFill="1" applyBorder="1" applyAlignment="1">
      <alignment horizontal="center"/>
    </xf>
    <xf numFmtId="0" fontId="112" fillId="33" borderId="56" xfId="0" applyFont="1" applyFill="1" applyBorder="1" applyAlignment="1">
      <alignment horizontal="center" vertical="center"/>
    </xf>
    <xf numFmtId="0" fontId="112" fillId="33" borderId="57" xfId="0" applyFont="1" applyFill="1" applyBorder="1" applyAlignment="1">
      <alignment horizontal="center" vertical="center"/>
    </xf>
    <xf numFmtId="0" fontId="112" fillId="33" borderId="18" xfId="0" applyFont="1" applyFill="1" applyBorder="1" applyAlignment="1">
      <alignment horizontal="center" vertical="center" wrapText="1"/>
    </xf>
    <xf numFmtId="0" fontId="112" fillId="33" borderId="0" xfId="0" applyFont="1" applyFill="1" applyBorder="1" applyAlignment="1">
      <alignment horizontal="center" vertical="center" wrapText="1"/>
    </xf>
    <xf numFmtId="0" fontId="112" fillId="33" borderId="37" xfId="0" applyFont="1" applyFill="1" applyBorder="1" applyAlignment="1">
      <alignment horizontal="center" vertical="center" wrapText="1"/>
    </xf>
    <xf numFmtId="0" fontId="120" fillId="35" borderId="26" xfId="1451" applyFont="1" applyFill="1" applyBorder="1" applyAlignment="1">
      <alignment horizontal="center" vertical="center"/>
    </xf>
    <xf numFmtId="0" fontId="120" fillId="35" borderId="36" xfId="1451" applyFont="1" applyFill="1" applyBorder="1" applyAlignment="1">
      <alignment horizontal="center" vertical="center"/>
    </xf>
    <xf numFmtId="0" fontId="120" fillId="35" borderId="48" xfId="1451" applyFont="1" applyFill="1" applyBorder="1" applyAlignment="1">
      <alignment horizontal="center" vertical="center"/>
    </xf>
    <xf numFmtId="0" fontId="120" fillId="35" borderId="28" xfId="1451" applyFont="1" applyFill="1" applyBorder="1" applyAlignment="1">
      <alignment horizontal="center" vertical="center"/>
    </xf>
    <xf numFmtId="0" fontId="120" fillId="35" borderId="0" xfId="1451" applyFont="1" applyFill="1" applyAlignment="1">
      <alignment horizontal="center" vertical="center"/>
    </xf>
    <xf numFmtId="0" fontId="120" fillId="35" borderId="37" xfId="1451" applyFont="1" applyFill="1" applyBorder="1" applyAlignment="1">
      <alignment horizontal="center" vertical="center"/>
    </xf>
    <xf numFmtId="0" fontId="120" fillId="35" borderId="34" xfId="1451" applyFont="1" applyFill="1" applyBorder="1" applyAlignment="1">
      <alignment horizontal="center" vertical="center"/>
    </xf>
    <xf numFmtId="0" fontId="120" fillId="35" borderId="19" xfId="1451" applyFont="1" applyFill="1" applyBorder="1" applyAlignment="1">
      <alignment horizontal="center" vertical="center"/>
    </xf>
    <xf numFmtId="0" fontId="120" fillId="35" borderId="31" xfId="1451" applyFont="1" applyFill="1" applyBorder="1" applyAlignment="1">
      <alignment horizontal="center" vertical="center"/>
    </xf>
    <xf numFmtId="0" fontId="158" fillId="0" borderId="0" xfId="1451" applyFont="1" applyAlignment="1">
      <alignment horizontal="left"/>
    </xf>
  </cellXfs>
  <cellStyles count="2679">
    <cellStyle name="&gt;? MK/l" xfId="1"/>
    <cellStyle name="20% - Accent1" xfId="2" builtinId="30" customBuiltin="1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2" xfId="10"/>
    <cellStyle name="20% - Accent1 2 2" xfId="11"/>
    <cellStyle name="20% - Accent1 2 3" xfId="12"/>
    <cellStyle name="20% - Accent1 3" xfId="13"/>
    <cellStyle name="20% - Accent1 4" xfId="14"/>
    <cellStyle name="20% - Accent1 5" xfId="15"/>
    <cellStyle name="20% - Accent1 6" xfId="16"/>
    <cellStyle name="20% - Accent1 7" xfId="17"/>
    <cellStyle name="20% - Accent1 8" xfId="18"/>
    <cellStyle name="20% - Accent1 9" xfId="19"/>
    <cellStyle name="20% - Accent2" xfId="20" builtinId="34" customBuiltin="1"/>
    <cellStyle name="20% - Accent2 10" xfId="21"/>
    <cellStyle name="20% - Accent2 11" xfId="22"/>
    <cellStyle name="20% - Accent2 12" xfId="23"/>
    <cellStyle name="20% - Accent2 13" xfId="24"/>
    <cellStyle name="20% - Accent2 14" xfId="25"/>
    <cellStyle name="20% - Accent2 15" xfId="26"/>
    <cellStyle name="20% - Accent2 16" xfId="27"/>
    <cellStyle name="20% - Accent2 2" xfId="28"/>
    <cellStyle name="20% - Accent2 2 2" xfId="29"/>
    <cellStyle name="20% - Accent2 2 3" xfId="30"/>
    <cellStyle name="20% - Accent2 3" xfId="31"/>
    <cellStyle name="20% - Accent2 4" xfId="32"/>
    <cellStyle name="20% - Accent2 5" xfId="33"/>
    <cellStyle name="20% - Accent2 6" xfId="34"/>
    <cellStyle name="20% - Accent2 7" xfId="35"/>
    <cellStyle name="20% - Accent2 8" xfId="36"/>
    <cellStyle name="20% - Accent2 9" xfId="37"/>
    <cellStyle name="20% - Accent3" xfId="38" builtinId="38" customBuiltin="1"/>
    <cellStyle name="20% - Accent3 10" xfId="39"/>
    <cellStyle name="20% - Accent3 11" xfId="40"/>
    <cellStyle name="20% - Accent3 12" xfId="41"/>
    <cellStyle name="20% - Accent3 13" xfId="42"/>
    <cellStyle name="20% - Accent3 14" xfId="43"/>
    <cellStyle name="20% - Accent3 15" xfId="44"/>
    <cellStyle name="20% - Accent3 16" xfId="45"/>
    <cellStyle name="20% - Accent3 2" xfId="46"/>
    <cellStyle name="20% - Accent3 2 2" xfId="47"/>
    <cellStyle name="20% - Accent3 2 3" xfId="48"/>
    <cellStyle name="20% - Accent3 3" xfId="49"/>
    <cellStyle name="20% - Accent3 4" xfId="50"/>
    <cellStyle name="20% - Accent3 5" xfId="51"/>
    <cellStyle name="20% - Accent3 6" xfId="52"/>
    <cellStyle name="20% - Accent3 7" xfId="53"/>
    <cellStyle name="20% - Accent3 8" xfId="54"/>
    <cellStyle name="20% - Accent3 9" xfId="55"/>
    <cellStyle name="20% - Accent4" xfId="56" builtinId="42" customBuiltin="1"/>
    <cellStyle name="20% - Accent4 10" xfId="57"/>
    <cellStyle name="20% - Accent4 11" xfId="58"/>
    <cellStyle name="20% - Accent4 12" xfId="59"/>
    <cellStyle name="20% - Accent4 13" xfId="60"/>
    <cellStyle name="20% - Accent4 14" xfId="61"/>
    <cellStyle name="20% - Accent4 15" xfId="62"/>
    <cellStyle name="20% - Accent4 16" xfId="63"/>
    <cellStyle name="20% - Accent4 2" xfId="64"/>
    <cellStyle name="20% - Accent4 2 2" xfId="65"/>
    <cellStyle name="20% - Accent4 2 3" xfId="66"/>
    <cellStyle name="20% - Accent4 3" xfId="67"/>
    <cellStyle name="20% - Accent4 4" xfId="68"/>
    <cellStyle name="20% - Accent4 5" xfId="69"/>
    <cellStyle name="20% - Accent4 6" xfId="70"/>
    <cellStyle name="20% - Accent4 7" xfId="71"/>
    <cellStyle name="20% - Accent4 8" xfId="72"/>
    <cellStyle name="20% - Accent4 9" xfId="73"/>
    <cellStyle name="20% - Accent5" xfId="74" builtinId="46" customBuiltin="1"/>
    <cellStyle name="20% - Accent5 10" xfId="75"/>
    <cellStyle name="20% - Accent5 11" xfId="76"/>
    <cellStyle name="20% - Accent5 12" xfId="77"/>
    <cellStyle name="20% - Accent5 13" xfId="78"/>
    <cellStyle name="20% - Accent5 14" xfId="79"/>
    <cellStyle name="20% - Accent5 15" xfId="80"/>
    <cellStyle name="20% - Accent5 16" xfId="81"/>
    <cellStyle name="20% - Accent5 2" xfId="82"/>
    <cellStyle name="20% - Accent5 2 2" xfId="83"/>
    <cellStyle name="20% - Accent5 2 3" xfId="84"/>
    <cellStyle name="20% - Accent5 3" xfId="85"/>
    <cellStyle name="20% - Accent5 4" xfId="86"/>
    <cellStyle name="20% - Accent5 5" xfId="87"/>
    <cellStyle name="20% - Accent5 6" xfId="88"/>
    <cellStyle name="20% - Accent5 7" xfId="89"/>
    <cellStyle name="20% - Accent5 8" xfId="90"/>
    <cellStyle name="20% - Accent5 9" xfId="91"/>
    <cellStyle name="20% - Accent6" xfId="92" builtinId="50" customBuiltin="1"/>
    <cellStyle name="20% - Accent6 10" xfId="93"/>
    <cellStyle name="20% - Accent6 11" xfId="94"/>
    <cellStyle name="20% - Accent6 12" xfId="95"/>
    <cellStyle name="20% - Accent6 13" xfId="96"/>
    <cellStyle name="20% - Accent6 14" xfId="97"/>
    <cellStyle name="20% - Accent6 15" xfId="98"/>
    <cellStyle name="20% - Accent6 16" xfId="99"/>
    <cellStyle name="20% - Accent6 2" xfId="100"/>
    <cellStyle name="20% - Accent6 2 2" xfId="101"/>
    <cellStyle name="20% - Accent6 2 3" xfId="102"/>
    <cellStyle name="20% - Accent6 3" xfId="103"/>
    <cellStyle name="20% - Accent6 4" xfId="104"/>
    <cellStyle name="20% - Accent6 5" xfId="105"/>
    <cellStyle name="20% - Accent6 6" xfId="106"/>
    <cellStyle name="20% - Accent6 7" xfId="107"/>
    <cellStyle name="20% - Accent6 8" xfId="108"/>
    <cellStyle name="20% - Accent6 9" xfId="109"/>
    <cellStyle name="40% - Accent1" xfId="110" builtinId="31" customBuiltin="1"/>
    <cellStyle name="40% - Accent1 10" xfId="111"/>
    <cellStyle name="40% - Accent1 11" xfId="112"/>
    <cellStyle name="40% - Accent1 12" xfId="113"/>
    <cellStyle name="40% - Accent1 13" xfId="114"/>
    <cellStyle name="40% - Accent1 14" xfId="115"/>
    <cellStyle name="40% - Accent1 15" xfId="116"/>
    <cellStyle name="40% - Accent1 16" xfId="117"/>
    <cellStyle name="40% - Accent1 2" xfId="118"/>
    <cellStyle name="40% - Accent1 2 2" xfId="119"/>
    <cellStyle name="40% - Accent1 2 3" xfId="120"/>
    <cellStyle name="40% - Accent1 3" xfId="121"/>
    <cellStyle name="40% - Accent1 4" xfId="122"/>
    <cellStyle name="40% - Accent1 5" xfId="123"/>
    <cellStyle name="40% - Accent1 6" xfId="124"/>
    <cellStyle name="40% - Accent1 7" xfId="125"/>
    <cellStyle name="40% - Accent1 8" xfId="126"/>
    <cellStyle name="40% - Accent1 9" xfId="127"/>
    <cellStyle name="40% - Accent2" xfId="128" builtinId="35" customBuiltin="1"/>
    <cellStyle name="40% - Accent2 10" xfId="129"/>
    <cellStyle name="40% - Accent2 11" xfId="130"/>
    <cellStyle name="40% - Accent2 12" xfId="131"/>
    <cellStyle name="40% - Accent2 13" xfId="132"/>
    <cellStyle name="40% - Accent2 14" xfId="133"/>
    <cellStyle name="40% - Accent2 15" xfId="134"/>
    <cellStyle name="40% - Accent2 16" xfId="135"/>
    <cellStyle name="40% - Accent2 2" xfId="136"/>
    <cellStyle name="40% - Accent2 2 2" xfId="137"/>
    <cellStyle name="40% - Accent2 2 3" xfId="138"/>
    <cellStyle name="40% - Accent2 3" xfId="139"/>
    <cellStyle name="40% - Accent2 4" xfId="140"/>
    <cellStyle name="40% - Accent2 5" xfId="141"/>
    <cellStyle name="40% - Accent2 6" xfId="142"/>
    <cellStyle name="40% - Accent2 7" xfId="143"/>
    <cellStyle name="40% - Accent2 8" xfId="144"/>
    <cellStyle name="40% - Accent2 9" xfId="145"/>
    <cellStyle name="40% - Accent3" xfId="146" builtinId="39" customBuiltin="1"/>
    <cellStyle name="40% - Accent3 10" xfId="147"/>
    <cellStyle name="40% - Accent3 11" xfId="148"/>
    <cellStyle name="40% - Accent3 12" xfId="149"/>
    <cellStyle name="40% - Accent3 13" xfId="150"/>
    <cellStyle name="40% - Accent3 14" xfId="151"/>
    <cellStyle name="40% - Accent3 15" xfId="152"/>
    <cellStyle name="40% - Accent3 16" xfId="153"/>
    <cellStyle name="40% - Accent3 2" xfId="154"/>
    <cellStyle name="40% - Accent3 2 2" xfId="155"/>
    <cellStyle name="40% - Accent3 2 3" xfId="156"/>
    <cellStyle name="40% - Accent3 3" xfId="157"/>
    <cellStyle name="40% - Accent3 4" xfId="158"/>
    <cellStyle name="40% - Accent3 5" xfId="159"/>
    <cellStyle name="40% - Accent3 6" xfId="160"/>
    <cellStyle name="40% - Accent3 7" xfId="161"/>
    <cellStyle name="40% - Accent3 8" xfId="162"/>
    <cellStyle name="40% - Accent3 9" xfId="163"/>
    <cellStyle name="40% - Accent4" xfId="164" builtinId="43" customBuiltin="1"/>
    <cellStyle name="40% - Accent4 10" xfId="165"/>
    <cellStyle name="40% - Accent4 11" xfId="166"/>
    <cellStyle name="40% - Accent4 12" xfId="167"/>
    <cellStyle name="40% - Accent4 13" xfId="168"/>
    <cellStyle name="40% - Accent4 14" xfId="169"/>
    <cellStyle name="40% - Accent4 15" xfId="170"/>
    <cellStyle name="40% - Accent4 16" xfId="171"/>
    <cellStyle name="40% - Accent4 2" xfId="172"/>
    <cellStyle name="40% - Accent4 2 2" xfId="173"/>
    <cellStyle name="40% - Accent4 2 3" xfId="174"/>
    <cellStyle name="40% - Accent4 3" xfId="175"/>
    <cellStyle name="40% - Accent4 4" xfId="176"/>
    <cellStyle name="40% - Accent4 5" xfId="177"/>
    <cellStyle name="40% - Accent4 6" xfId="178"/>
    <cellStyle name="40% - Accent4 7" xfId="179"/>
    <cellStyle name="40% - Accent4 8" xfId="180"/>
    <cellStyle name="40% - Accent4 9" xfId="181"/>
    <cellStyle name="40% - Accent5" xfId="182" builtinId="47" customBuiltin="1"/>
    <cellStyle name="40% - Accent5 10" xfId="183"/>
    <cellStyle name="40% - Accent5 11" xfId="184"/>
    <cellStyle name="40% - Accent5 12" xfId="185"/>
    <cellStyle name="40% - Accent5 13" xfId="186"/>
    <cellStyle name="40% - Accent5 14" xfId="187"/>
    <cellStyle name="40% - Accent5 15" xfId="188"/>
    <cellStyle name="40% - Accent5 16" xfId="189"/>
    <cellStyle name="40% - Accent5 2" xfId="190"/>
    <cellStyle name="40% - Accent5 2 2" xfId="191"/>
    <cellStyle name="40% - Accent5 2 3" xfId="192"/>
    <cellStyle name="40% - Accent5 3" xfId="193"/>
    <cellStyle name="40% - Accent5 4" xfId="194"/>
    <cellStyle name="40% - Accent5 5" xfId="195"/>
    <cellStyle name="40% - Accent5 6" xfId="196"/>
    <cellStyle name="40% - Accent5 7" xfId="197"/>
    <cellStyle name="40% - Accent5 8" xfId="198"/>
    <cellStyle name="40% - Accent5 9" xfId="199"/>
    <cellStyle name="40% - Accent6" xfId="200" builtinId="51" customBuiltin="1"/>
    <cellStyle name="40% - Accent6 10" xfId="201"/>
    <cellStyle name="40% - Accent6 11" xfId="202"/>
    <cellStyle name="40% - Accent6 12" xfId="203"/>
    <cellStyle name="40% - Accent6 13" xfId="204"/>
    <cellStyle name="40% - Accent6 14" xfId="205"/>
    <cellStyle name="40% - Accent6 15" xfId="206"/>
    <cellStyle name="40% - Accent6 16" xfId="207"/>
    <cellStyle name="40% - Accent6 2" xfId="208"/>
    <cellStyle name="40% - Accent6 2 2" xfId="209"/>
    <cellStyle name="40% - Accent6 2 3" xfId="210"/>
    <cellStyle name="40% - Accent6 3" xfId="211"/>
    <cellStyle name="40% - Accent6 4" xfId="212"/>
    <cellStyle name="40% - Accent6 5" xfId="213"/>
    <cellStyle name="40% - Accent6 6" xfId="214"/>
    <cellStyle name="40% - Accent6 7" xfId="215"/>
    <cellStyle name="40% - Accent6 8" xfId="216"/>
    <cellStyle name="40% - Accent6 9" xfId="217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1" xfId="532"/>
    <cellStyle name="Comma [0] 11 2" xfId="533"/>
    <cellStyle name="Comma [0] 11 2 2" xfId="534"/>
    <cellStyle name="Comma [0] 11 3" xfId="535"/>
    <cellStyle name="Comma [0] 12" xfId="536"/>
    <cellStyle name="Comma [0] 12 2" xfId="537"/>
    <cellStyle name="Comma [0] 12 2 2" xfId="538"/>
    <cellStyle name="Comma [0] 12 3" xfId="539"/>
    <cellStyle name="Comma [0] 12 3 2" xfId="540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3" xfId="546"/>
    <cellStyle name="Comma [0] 15" xfId="547"/>
    <cellStyle name="Comma [0] 15 2" xfId="548"/>
    <cellStyle name="Comma [0] 15 2 2" xfId="549"/>
    <cellStyle name="Comma [0] 15_Book2" xfId="550"/>
    <cellStyle name="Comma [0] 16" xfId="551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3" xfId="557"/>
    <cellStyle name="Comma [0] 19" xfId="558"/>
    <cellStyle name="Comma [0] 19 2" xfId="559"/>
    <cellStyle name="Comma [0] 19 2 2" xfId="560"/>
    <cellStyle name="Comma [0] 19 3" xfId="561"/>
    <cellStyle name="Comma [0] 2" xfId="562"/>
    <cellStyle name="Comma [0] 2 10" xfId="563"/>
    <cellStyle name="Comma [0] 2 10 2" xfId="564"/>
    <cellStyle name="Comma [0] 2 10 3" xfId="565"/>
    <cellStyle name="Comma [0] 2 11" xfId="566"/>
    <cellStyle name="Comma [0] 2 12" xfId="567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3" xfId="576"/>
    <cellStyle name="Comma [0] 2 2 2 2 2 2 2 3 2" xfId="577"/>
    <cellStyle name="Comma [0] 2 2 2 2 2 2 3" xfId="578"/>
    <cellStyle name="Comma [0] 2 2 2 2 2 2 4" xfId="579"/>
    <cellStyle name="Comma [0] 2 2 2 2 2 3" xfId="580"/>
    <cellStyle name="Comma [0] 2 2 2 2 2 3 2" xfId="581"/>
    <cellStyle name="Comma [0] 2 2 2 2 2 4" xfId="582"/>
    <cellStyle name="Comma [0] 2 2 2 2 2 4 2" xfId="583"/>
    <cellStyle name="Comma [0] 2 2 2 2 3" xfId="584"/>
    <cellStyle name="Comma [0] 2 2 2 2 4" xfId="585"/>
    <cellStyle name="Comma [0] 2 2 2 2 5" xfId="586"/>
    <cellStyle name="Comma [0] 2 2 2 3" xfId="587"/>
    <cellStyle name="Comma [0] 2 2 2 3 2" xfId="588"/>
    <cellStyle name="Comma [0] 2 2 2 4" xfId="589"/>
    <cellStyle name="Comma [0] 2 2 2 4 2" xfId="590"/>
    <cellStyle name="Comma [0] 2 2 2 5" xfId="591"/>
    <cellStyle name="Comma [0] 2 2 2 5 2" xfId="592"/>
    <cellStyle name="Comma [0] 2 2 2 6" xfId="593"/>
    <cellStyle name="Comma [0] 2 2 3" xfId="594"/>
    <cellStyle name="Comma [0] 2 2 4" xfId="595"/>
    <cellStyle name="Comma [0] 2 2 5" xfId="596"/>
    <cellStyle name="Comma [0] 2 2 6" xfId="597"/>
    <cellStyle name="Comma [0] 2 2 6 2" xfId="598"/>
    <cellStyle name="Comma [0] 2 3" xfId="599"/>
    <cellStyle name="Comma [0] 2 3 2" xfId="600"/>
    <cellStyle name="Comma [0] 2 3 2 2" xfId="601"/>
    <cellStyle name="Comma [0] 2 3 2 2 2" xfId="602"/>
    <cellStyle name="Comma [0] 2 3 2 2 3" xfId="603"/>
    <cellStyle name="Comma [0] 2 3 2 2 4" xfId="604"/>
    <cellStyle name="Comma [0] 2 3 2 3" xfId="605"/>
    <cellStyle name="Comma [0] 2 3 2 4" xfId="606"/>
    <cellStyle name="Comma [0] 2 3 2 5" xfId="607"/>
    <cellStyle name="Comma [0] 2 3 2 6" xfId="608"/>
    <cellStyle name="Comma [0] 2 3 3" xfId="609"/>
    <cellStyle name="Comma [0] 2 3 4" xfId="610"/>
    <cellStyle name="Comma [0] 2 3 5" xfId="611"/>
    <cellStyle name="Comma [0] 2 3 6" xfId="612"/>
    <cellStyle name="Comma [0] 2 3 7" xfId="613"/>
    <cellStyle name="Comma [0] 2 3 8" xfId="614"/>
    <cellStyle name="Comma [0] 2 4" xfId="615"/>
    <cellStyle name="Comma [0] 2 4 2" xfId="616"/>
    <cellStyle name="Comma [0] 2 4 3" xfId="617"/>
    <cellStyle name="Comma [0] 2 4 4" xfId="618"/>
    <cellStyle name="Comma [0] 2 4 5" xfId="619"/>
    <cellStyle name="Comma [0] 2 4 5 2" xfId="620"/>
    <cellStyle name="Comma [0] 2 4 6" xfId="621"/>
    <cellStyle name="Comma [0] 2 5" xfId="622"/>
    <cellStyle name="Comma [0] 2 5 2" xfId="623"/>
    <cellStyle name="Comma [0] 2 5 3" xfId="624"/>
    <cellStyle name="Comma [0] 2 5 4" xfId="625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3" xfId="632"/>
    <cellStyle name="Comma [0] 2 6 2 2 2 2 4" xfId="633"/>
    <cellStyle name="Comma [0] 2 6 2 2 2 2 5" xfId="634"/>
    <cellStyle name="Comma [0] 2 6 2 2 2 3" xfId="635"/>
    <cellStyle name="Comma [0] 2 6 2 2 2 4" xfId="636"/>
    <cellStyle name="Comma [0] 2 6 2 2 2 5" xfId="637"/>
    <cellStyle name="Comma [0] 2 6 2 2 3" xfId="638"/>
    <cellStyle name="Comma [0] 2 6 2 2 4" xfId="639"/>
    <cellStyle name="Comma [0] 2 6 2 2 5" xfId="640"/>
    <cellStyle name="Comma [0] 2 6 2 3" xfId="641"/>
    <cellStyle name="Comma [0] 2 6 2 4" xfId="642"/>
    <cellStyle name="Comma [0] 2 6 2 5" xfId="643"/>
    <cellStyle name="Comma [0] 2 6 3" xfId="644"/>
    <cellStyle name="Comma [0] 2 6 4" xfId="645"/>
    <cellStyle name="Comma [0] 2 6 5" xfId="646"/>
    <cellStyle name="Comma [0] 2 7" xfId="647"/>
    <cellStyle name="Comma [0] 2 7 2" xfId="648"/>
    <cellStyle name="Comma [0] 2 8" xfId="649"/>
    <cellStyle name="Comma [0] 2 9" xfId="650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3" xfId="656"/>
    <cellStyle name="Comma [0] 24" xfId="657"/>
    <cellStyle name="Comma [0] 24 2" xfId="658"/>
    <cellStyle name="Comma [0] 24 2 2" xfId="659"/>
    <cellStyle name="Comma [0] 24 3" xfId="660"/>
    <cellStyle name="Comma [0] 25" xfId="661"/>
    <cellStyle name="Comma [0] 26" xfId="662"/>
    <cellStyle name="Comma [0] 27" xfId="663"/>
    <cellStyle name="Comma [0] 27 2" xfId="664"/>
    <cellStyle name="Comma [0] 3" xfId="665"/>
    <cellStyle name="Comma [0] 3 2" xfId="666"/>
    <cellStyle name="Comma [0] 3 2 2" xfId="667"/>
    <cellStyle name="Comma [0] 3 2 3" xfId="668"/>
    <cellStyle name="Comma [0] 3 3" xfId="669"/>
    <cellStyle name="Comma [0] 32" xfId="670"/>
    <cellStyle name="Comma [0] 32 2" xfId="671"/>
    <cellStyle name="Comma [0] 35" xfId="672"/>
    <cellStyle name="Comma [0] 4" xfId="673"/>
    <cellStyle name="Comma [0] 4 2" xfId="674"/>
    <cellStyle name="Comma [0] 4 2 2" xfId="675"/>
    <cellStyle name="Comma [0] 4 3" xfId="676"/>
    <cellStyle name="Comma [0] 4 3 2" xfId="677"/>
    <cellStyle name="Comma [0] 4 4" xfId="678"/>
    <cellStyle name="Comma [0] 4 4 2" xfId="679"/>
    <cellStyle name="Comma [0] 4 5" xfId="680"/>
    <cellStyle name="Comma [0] 4 6" xfId="681"/>
    <cellStyle name="Comma [0] 5" xfId="682"/>
    <cellStyle name="Comma [0] 5 2" xfId="683"/>
    <cellStyle name="Comma [0] 5 3" xfId="684"/>
    <cellStyle name="Comma [0] 6" xfId="685"/>
    <cellStyle name="Comma [0] 6 2" xfId="686"/>
    <cellStyle name="Comma [0] 6 3" xfId="687"/>
    <cellStyle name="Comma [0] 6 3 2" xfId="688"/>
    <cellStyle name="Comma [0] 7" xfId="689"/>
    <cellStyle name="Comma [0] 7 2" xfId="690"/>
    <cellStyle name="Comma [0] 7 2 2" xfId="691"/>
    <cellStyle name="Comma [0] 7 3" xfId="692"/>
    <cellStyle name="Comma [0] 8" xfId="693"/>
    <cellStyle name="Comma [0] 8 2" xfId="694"/>
    <cellStyle name="Comma [0] 8 2 2" xfId="695"/>
    <cellStyle name="Comma [0] 8 3" xfId="696"/>
    <cellStyle name="Comma [0] 8 3 2" xfId="697"/>
    <cellStyle name="Comma [0] 8 4" xfId="698"/>
    <cellStyle name="Comma [0] 9" xfId="699"/>
    <cellStyle name="Comma [0] 9 2" xfId="700"/>
    <cellStyle name="Comma [0] 9 2 2" xfId="701"/>
    <cellStyle name="Comma [0] 9 3" xfId="702"/>
    <cellStyle name="Comma [0] 9 3 2" xfId="703"/>
    <cellStyle name="Comma [0] 90" xfId="704"/>
    <cellStyle name="Comma [0] 90 2" xfId="705"/>
    <cellStyle name="Comma [0] 91" xfId="706"/>
    <cellStyle name="Comma [0] 91 2" xfId="707"/>
    <cellStyle name="Comma [0] 93" xfId="708"/>
    <cellStyle name="Comma [0] 93 2" xfId="709"/>
    <cellStyle name="Comma [0] 94" xfId="710"/>
    <cellStyle name="Comma [0] 94 2" xfId="711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3" xfId="718"/>
    <cellStyle name="Comma 10 3" xfId="719"/>
    <cellStyle name="Comma 10 3 2" xfId="720"/>
    <cellStyle name="Comma 10 4" xfId="721"/>
    <cellStyle name="Comma 10 4 2" xfId="722"/>
    <cellStyle name="Comma 10 5" xfId="723"/>
    <cellStyle name="Comma 10 5 2" xfId="724"/>
    <cellStyle name="Comma 10 6" xfId="725"/>
    <cellStyle name="Comma 10 6 2" xfId="726"/>
    <cellStyle name="Comma 10 7" xfId="727"/>
    <cellStyle name="Comma 10 8" xfId="728"/>
    <cellStyle name="Comma 11" xfId="729"/>
    <cellStyle name="Comma 11 2" xfId="730"/>
    <cellStyle name="Comma 12" xfId="731"/>
    <cellStyle name="Comma 12 2" xfId="732"/>
    <cellStyle name="Comma 12 2 2" xfId="733"/>
    <cellStyle name="Comma 12 3" xfId="734"/>
    <cellStyle name="Comma 12 3 2" xfId="735"/>
    <cellStyle name="Comma 12 4" xfId="736"/>
    <cellStyle name="Comma 12 4 2" xfId="737"/>
    <cellStyle name="Comma 12 5" xfId="738"/>
    <cellStyle name="Comma 12 5 2" xfId="739"/>
    <cellStyle name="Comma 12 6" xfId="740"/>
    <cellStyle name="Comma 12 6 2" xfId="741"/>
    <cellStyle name="Comma 12 7" xfId="742"/>
    <cellStyle name="Comma 13" xfId="743"/>
    <cellStyle name="Comma 13 2" xfId="744"/>
    <cellStyle name="Comma 13 2 2" xfId="745"/>
    <cellStyle name="Comma 13 3" xfId="746"/>
    <cellStyle name="Comma 14" xfId="747"/>
    <cellStyle name="Comma 14 2" xfId="748"/>
    <cellStyle name="Comma 14 2 2" xfId="749"/>
    <cellStyle name="Comma 14 2 2 2" xfId="750"/>
    <cellStyle name="Comma 14 2 3" xfId="751"/>
    <cellStyle name="Comma 14 3" xfId="752"/>
    <cellStyle name="Comma 15" xfId="753"/>
    <cellStyle name="Comma 15 2" xfId="754"/>
    <cellStyle name="Comma 15 2 2" xfId="755"/>
    <cellStyle name="Comma 15 3" xfId="756"/>
    <cellStyle name="Comma 15 3 2" xfId="757"/>
    <cellStyle name="Comma 15 4" xfId="758"/>
    <cellStyle name="Comma 15 4 2" xfId="759"/>
    <cellStyle name="Comma 15 5" xfId="760"/>
    <cellStyle name="Comma 16" xfId="761"/>
    <cellStyle name="Comma 16 2" xfId="762"/>
    <cellStyle name="Comma 17" xfId="763"/>
    <cellStyle name="Comma 17 2" xfId="764"/>
    <cellStyle name="Comma 17 2 2" xfId="765"/>
    <cellStyle name="Comma 18" xfId="766"/>
    <cellStyle name="Comma 18 2" xfId="767"/>
    <cellStyle name="Comma 18 2 2" xfId="768"/>
    <cellStyle name="Comma 18 3" xfId="769"/>
    <cellStyle name="Comma 19" xfId="770"/>
    <cellStyle name="Comma 19 2" xfId="771"/>
    <cellStyle name="Comma 19 3" xfId="772"/>
    <cellStyle name="Comma 19 4" xfId="773"/>
    <cellStyle name="Comma 19 5" xfId="774"/>
    <cellStyle name="Comma 2" xfId="775"/>
    <cellStyle name="Comma 2 10" xfId="776"/>
    <cellStyle name="Comma 2 10 2" xfId="777"/>
    <cellStyle name="Comma 2 11" xfId="778"/>
    <cellStyle name="Comma 2 11 2" xfId="779"/>
    <cellStyle name="Comma 2 12" xfId="780"/>
    <cellStyle name="Comma 2 12 2" xfId="781"/>
    <cellStyle name="Comma 2 13" xfId="782"/>
    <cellStyle name="Comma 2 13 2" xfId="783"/>
    <cellStyle name="Comma 2 14" xfId="784"/>
    <cellStyle name="Comma 2 14 2" xfId="785"/>
    <cellStyle name="Comma 2 15" xfId="786"/>
    <cellStyle name="Comma 2 15 2" xfId="787"/>
    <cellStyle name="Comma 2 16" xfId="788"/>
    <cellStyle name="Comma 2 16 2" xfId="789"/>
    <cellStyle name="Comma 2 17" xfId="790"/>
    <cellStyle name="Comma 2 17 2" xfId="791"/>
    <cellStyle name="Comma 2 18" xfId="792"/>
    <cellStyle name="Comma 2 18 2" xfId="793"/>
    <cellStyle name="Comma 2 19" xfId="794"/>
    <cellStyle name="Comma 2 19 2" xfId="795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3" xfId="804"/>
    <cellStyle name="Comma 2 2 2 2 2 2 2 3 2" xfId="805"/>
    <cellStyle name="Comma 2 2 2 2 2 2 3" xfId="806"/>
    <cellStyle name="Comma 2 2 2 2 2 2 4" xfId="807"/>
    <cellStyle name="Comma 2 2 2 2 2 3" xfId="808"/>
    <cellStyle name="Comma 2 2 2 2 2 3 2" xfId="809"/>
    <cellStyle name="Comma 2 2 2 2 2 4" xfId="810"/>
    <cellStyle name="Comma 2 2 2 2 2 4 2" xfId="811"/>
    <cellStyle name="Comma 2 2 2 2 3" xfId="812"/>
    <cellStyle name="Comma 2 2 2 2 4" xfId="813"/>
    <cellStyle name="Comma 2 2 2 2 5" xfId="814"/>
    <cellStyle name="Comma 2 2 2 3" xfId="815"/>
    <cellStyle name="Comma 2 2 2 3 2" xfId="816"/>
    <cellStyle name="Comma 2 2 2 4" xfId="817"/>
    <cellStyle name="Comma 2 2 2 4 2" xfId="818"/>
    <cellStyle name="Comma 2 2 2 5" xfId="819"/>
    <cellStyle name="Comma 2 2 2 5 2" xfId="820"/>
    <cellStyle name="Comma 2 2 3" xfId="821"/>
    <cellStyle name="Comma 2 2 3 2" xfId="822"/>
    <cellStyle name="Comma 2 2 4" xfId="823"/>
    <cellStyle name="Comma 2 2 5" xfId="824"/>
    <cellStyle name="Comma 2 2 6" xfId="825"/>
    <cellStyle name="Comma 2 2 7" xfId="826"/>
    <cellStyle name="Comma 2 20" xfId="827"/>
    <cellStyle name="Comma 2 20 2" xfId="828"/>
    <cellStyle name="Comma 2 21" xfId="829"/>
    <cellStyle name="Comma 2 21 2" xfId="830"/>
    <cellStyle name="Comma 2 22" xfId="831"/>
    <cellStyle name="Comma 2 22 2" xfId="832"/>
    <cellStyle name="Comma 2 23" xfId="833"/>
    <cellStyle name="Comma 2 23 2" xfId="834"/>
    <cellStyle name="Comma 2 24" xfId="835"/>
    <cellStyle name="Comma 2 24 2" xfId="836"/>
    <cellStyle name="Comma 2 25" xfId="837"/>
    <cellStyle name="Comma 2 25 2" xfId="838"/>
    <cellStyle name="Comma 2 26" xfId="839"/>
    <cellStyle name="Comma 2 26 2" xfId="840"/>
    <cellStyle name="Comma 2 27" xfId="841"/>
    <cellStyle name="Comma 2 27 2" xfId="842"/>
    <cellStyle name="Comma 2 28" xfId="843"/>
    <cellStyle name="Comma 2 28 2" xfId="844"/>
    <cellStyle name="Comma 2 29" xfId="845"/>
    <cellStyle name="Comma 2 29 2" xfId="846"/>
    <cellStyle name="Comma 2 3" xfId="847"/>
    <cellStyle name="Comma 2 3 2" xfId="848"/>
    <cellStyle name="Comma 2 30" xfId="849"/>
    <cellStyle name="Comma 2 30 2" xfId="850"/>
    <cellStyle name="Comma 2 31" xfId="851"/>
    <cellStyle name="Comma 2 31 2" xfId="852"/>
    <cellStyle name="Comma 2 32" xfId="853"/>
    <cellStyle name="Comma 2 32 2" xfId="854"/>
    <cellStyle name="Comma 2 33" xfId="855"/>
    <cellStyle name="Comma 2 33 2" xfId="856"/>
    <cellStyle name="Comma 2 34" xfId="857"/>
    <cellStyle name="Comma 2 34 2" xfId="858"/>
    <cellStyle name="Comma 2 35" xfId="859"/>
    <cellStyle name="Comma 2 35 2" xfId="860"/>
    <cellStyle name="Comma 2 36" xfId="861"/>
    <cellStyle name="Comma 2 36 2" xfId="862"/>
    <cellStyle name="Comma 2 37" xfId="863"/>
    <cellStyle name="Comma 2 37 2" xfId="864"/>
    <cellStyle name="Comma 2 38" xfId="865"/>
    <cellStyle name="Comma 2 38 2" xfId="866"/>
    <cellStyle name="Comma 2 39" xfId="867"/>
    <cellStyle name="Comma 2 39 2" xfId="868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1" xfId="875"/>
    <cellStyle name="Comma 2 41 2" xfId="876"/>
    <cellStyle name="Comma 2 42" xfId="877"/>
    <cellStyle name="Comma 2 42 2" xfId="878"/>
    <cellStyle name="Comma 2 43" xfId="879"/>
    <cellStyle name="Comma 2 43 2" xfId="880"/>
    <cellStyle name="Comma 2 44" xfId="881"/>
    <cellStyle name="Comma 2 44 2" xfId="882"/>
    <cellStyle name="Comma 2 45" xfId="883"/>
    <cellStyle name="Comma 2 45 2" xfId="884"/>
    <cellStyle name="Comma 2 46" xfId="885"/>
    <cellStyle name="Comma 2 46 2" xfId="886"/>
    <cellStyle name="Comma 2 47" xfId="887"/>
    <cellStyle name="Comma 2 47 2" xfId="888"/>
    <cellStyle name="Comma 2 48" xfId="889"/>
    <cellStyle name="Comma 2 48 2" xfId="890"/>
    <cellStyle name="Comma 2 49" xfId="891"/>
    <cellStyle name="Comma 2 49 2" xfId="892"/>
    <cellStyle name="Comma 2 5" xfId="893"/>
    <cellStyle name="Comma 2 5 2" xfId="894"/>
    <cellStyle name="Comma 2 50" xfId="895"/>
    <cellStyle name="Comma 2 50 2" xfId="896"/>
    <cellStyle name="Comma 2 51" xfId="897"/>
    <cellStyle name="Comma 2 51 2" xfId="898"/>
    <cellStyle name="Comma 2 52" xfId="899"/>
    <cellStyle name="Comma 2 52 2" xfId="900"/>
    <cellStyle name="Comma 2 53" xfId="901"/>
    <cellStyle name="Comma 2 53 2" xfId="902"/>
    <cellStyle name="Comma 2 54" xfId="903"/>
    <cellStyle name="Comma 2 54 2" xfId="904"/>
    <cellStyle name="Comma 2 55" xfId="905"/>
    <cellStyle name="Comma 2 55 2" xfId="906"/>
    <cellStyle name="Comma 2 56" xfId="907"/>
    <cellStyle name="Comma 2 56 2" xfId="908"/>
    <cellStyle name="Comma 2 57" xfId="909"/>
    <cellStyle name="Comma 2 57 2" xfId="910"/>
    <cellStyle name="Comma 2 58" xfId="911"/>
    <cellStyle name="Comma 2 58 2" xfId="912"/>
    <cellStyle name="Comma 2 58 2 2" xfId="913"/>
    <cellStyle name="Comma 2 58 3" xfId="914"/>
    <cellStyle name="Comma 2 58 3 2" xfId="915"/>
    <cellStyle name="Comma 2 58 4" xfId="916"/>
    <cellStyle name="Comma 2 58 4 2" xfId="917"/>
    <cellStyle name="Comma 2 58 5" xfId="918"/>
    <cellStyle name="Comma 2 59" xfId="919"/>
    <cellStyle name="Comma 2 59 2" xfId="920"/>
    <cellStyle name="Comma 2 6" xfId="921"/>
    <cellStyle name="Comma 2 6 2" xfId="922"/>
    <cellStyle name="Comma 2 60" xfId="923"/>
    <cellStyle name="Comma 2 60 2" xfId="924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9" xfId="948"/>
    <cellStyle name="Comma 2 9 2" xfId="949"/>
    <cellStyle name="Comma 20" xfId="950"/>
    <cellStyle name="Comma 20 2" xfId="951"/>
    <cellStyle name="Comma 20 2 2" xfId="952"/>
    <cellStyle name="Comma 20 3" xfId="953"/>
    <cellStyle name="Comma 21" xfId="954"/>
    <cellStyle name="Comma 21 2" xfId="955"/>
    <cellStyle name="Comma 21 2 2" xfId="956"/>
    <cellStyle name="Comma 21 3" xfId="957"/>
    <cellStyle name="Comma 22" xfId="958"/>
    <cellStyle name="Comma 22 2" xfId="959"/>
    <cellStyle name="Comma 22 2 2" xfId="960"/>
    <cellStyle name="Comma 22 3" xfId="961"/>
    <cellStyle name="Comma 23" xfId="962"/>
    <cellStyle name="Comma 23 2" xfId="963"/>
    <cellStyle name="Comma 24" xfId="964"/>
    <cellStyle name="Comma 24 2" xfId="965"/>
    <cellStyle name="Comma 25" xfId="966"/>
    <cellStyle name="Comma 25 2" xfId="967"/>
    <cellStyle name="Comma 26" xfId="968"/>
    <cellStyle name="Comma 26 2" xfId="969"/>
    <cellStyle name="Comma 27" xfId="970"/>
    <cellStyle name="Comma 28" xfId="971"/>
    <cellStyle name="Comma 28 2" xfId="972"/>
    <cellStyle name="Comma 29" xfId="973"/>
    <cellStyle name="Comma 29 2" xfId="974"/>
    <cellStyle name="Comma 3" xfId="975"/>
    <cellStyle name="Comma 3 10" xfId="976"/>
    <cellStyle name="Comma 3 2" xfId="977"/>
    <cellStyle name="Comma 3 2 2" xfId="978"/>
    <cellStyle name="Comma 3 2 2 2" xfId="979"/>
    <cellStyle name="Comma 3 2 2 2 2" xfId="980"/>
    <cellStyle name="Comma 3 2 2 2 3" xfId="981"/>
    <cellStyle name="Comma 3 2 2 2 4" xfId="982"/>
    <cellStyle name="Comma 3 2 2 3" xfId="983"/>
    <cellStyle name="Comma 3 2 2 4" xfId="984"/>
    <cellStyle name="Comma 3 2 2 5" xfId="985"/>
    <cellStyle name="Comma 3 2 3" xfId="986"/>
    <cellStyle name="Comma 3 2 4" xfId="987"/>
    <cellStyle name="Comma 3 2 5" xfId="988"/>
    <cellStyle name="Comma 3 2 6" xfId="989"/>
    <cellStyle name="Comma 3 3" xfId="990"/>
    <cellStyle name="Comma 3 3 2" xfId="991"/>
    <cellStyle name="Comma 3 3 3" xfId="992"/>
    <cellStyle name="Comma 3 3 4" xfId="993"/>
    <cellStyle name="Comma 3 4" xfId="994"/>
    <cellStyle name="Comma 3 4 2" xfId="995"/>
    <cellStyle name="Comma 3 4 3" xfId="996"/>
    <cellStyle name="Comma 3 4 4" xfId="997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3" xfId="1004"/>
    <cellStyle name="Comma 3 5 2 2 2 2 4" xfId="1005"/>
    <cellStyle name="Comma 3 5 2 2 2 2 5" xfId="1006"/>
    <cellStyle name="Comma 3 5 2 2 2 3" xfId="1007"/>
    <cellStyle name="Comma 3 5 2 2 2 4" xfId="1008"/>
    <cellStyle name="Comma 3 5 2 2 2 5" xfId="1009"/>
    <cellStyle name="Comma 3 5 2 2 3" xfId="1010"/>
    <cellStyle name="Comma 3 5 2 2 4" xfId="1011"/>
    <cellStyle name="Comma 3 5 2 2 5" xfId="1012"/>
    <cellStyle name="Comma 3 5 2 3" xfId="1013"/>
    <cellStyle name="Comma 3 5 2 4" xfId="1014"/>
    <cellStyle name="Comma 3 5 2 5" xfId="1015"/>
    <cellStyle name="Comma 3 5 3" xfId="1016"/>
    <cellStyle name="Comma 3 5 3 2" xfId="1017"/>
    <cellStyle name="Comma 3 5 3 3" xfId="1018"/>
    <cellStyle name="Comma 3 5 3 4" xfId="1019"/>
    <cellStyle name="Comma 3 5 4" xfId="1020"/>
    <cellStyle name="Comma 3 5 5" xfId="1021"/>
    <cellStyle name="Comma 3 5 6" xfId="1022"/>
    <cellStyle name="Comma 3 6" xfId="1023"/>
    <cellStyle name="Comma 3 7" xfId="1024"/>
    <cellStyle name="Comma 3 8" xfId="1025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1" xfId="1030"/>
    <cellStyle name="Comma 31 2" xfId="103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4" xfId="1038"/>
    <cellStyle name="Comma 34 2" xfId="1039"/>
    <cellStyle name="Comma 35" xfId="1040"/>
    <cellStyle name="Comma 36" xfId="1041"/>
    <cellStyle name="Comma 37" xfId="1042"/>
    <cellStyle name="Comma 37 2" xfId="1043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3" xfId="1050"/>
    <cellStyle name="Comma 4 4" xfId="1051"/>
    <cellStyle name="Comma 4 5" xfId="1052"/>
    <cellStyle name="Comma 40" xfId="1053"/>
    <cellStyle name="Comma 42" xfId="1054"/>
    <cellStyle name="Comma 42 2" xfId="1055"/>
    <cellStyle name="Comma 45" xfId="1056"/>
    <cellStyle name="Comma 45 2" xfId="1057"/>
    <cellStyle name="Comma 46" xfId="1058"/>
    <cellStyle name="Comma 46 2" xfId="1059"/>
    <cellStyle name="Comma 47" xfId="1060"/>
    <cellStyle name="Comma 47 2" xfId="1061"/>
    <cellStyle name="Comma 48" xfId="1062"/>
    <cellStyle name="Comma 48 2" xfId="1063"/>
    <cellStyle name="Comma 49" xfId="1064"/>
    <cellStyle name="Comma 49 2" xfId="1065"/>
    <cellStyle name="Comma 5" xfId="1066"/>
    <cellStyle name="Comma 5 2" xfId="1067"/>
    <cellStyle name="Comma 5 2 2" xfId="1068"/>
    <cellStyle name="Comma 5 3" xfId="1069"/>
    <cellStyle name="Comma 50" xfId="1070"/>
    <cellStyle name="Comma 50 2" xfId="1071"/>
    <cellStyle name="Comma 51" xfId="1072"/>
    <cellStyle name="Comma 51 2" xfId="1073"/>
    <cellStyle name="Comma 52" xfId="1074"/>
    <cellStyle name="Comma 52 2" xfId="1075"/>
    <cellStyle name="Comma 58" xfId="1076"/>
    <cellStyle name="Comma 58 2" xfId="1077"/>
    <cellStyle name="Comma 59" xfId="1078"/>
    <cellStyle name="Comma 59 2" xfId="1079"/>
    <cellStyle name="Comma 6" xfId="1080"/>
    <cellStyle name="Comma 6 2" xfId="1081"/>
    <cellStyle name="Comma 6 2 2" xfId="1082"/>
    <cellStyle name="Comma 62" xfId="1083"/>
    <cellStyle name="Comma 62 2" xfId="1084"/>
    <cellStyle name="Comma 63" xfId="1085"/>
    <cellStyle name="Comma 63 2" xfId="1086"/>
    <cellStyle name="Comma 66" xfId="1087"/>
    <cellStyle name="Comma 67" xfId="1088"/>
    <cellStyle name="Comma 67 2" xfId="1089"/>
    <cellStyle name="Comma 7" xfId="1090"/>
    <cellStyle name="Comma 7 2" xfId="1091"/>
    <cellStyle name="Comma 7 2 2" xfId="1092"/>
    <cellStyle name="Comma 7 3" xfId="1093"/>
    <cellStyle name="Comma 7 3 2" xfId="1094"/>
    <cellStyle name="Comma 72" xfId="1095"/>
    <cellStyle name="Comma 74" xfId="1096"/>
    <cellStyle name="Comma 74 2" xfId="1097"/>
    <cellStyle name="Comma 75" xfId="1098"/>
    <cellStyle name="Comma 75 2" xfId="1099"/>
    <cellStyle name="Comma 8" xfId="1100"/>
    <cellStyle name="Comma 8 2" xfId="1101"/>
    <cellStyle name="Comma 8 2 2" xfId="1102"/>
    <cellStyle name="Comma 8 2 2 2" xfId="1103"/>
    <cellStyle name="Comma 8 2 3" xfId="1104"/>
    <cellStyle name="Comma 8 3" xfId="1105"/>
    <cellStyle name="Comma 82" xfId="1106"/>
    <cellStyle name="Comma 82 2" xfId="1107"/>
    <cellStyle name="Comma 83" xfId="1108"/>
    <cellStyle name="Comma 83 2" xfId="1109"/>
    <cellStyle name="Comma 85" xfId="1110"/>
    <cellStyle name="Comma 85 2" xfId="1111"/>
    <cellStyle name="Comma 86" xfId="1112"/>
    <cellStyle name="Comma 86 2" xfId="1113"/>
    <cellStyle name="Comma 89" xfId="1114"/>
    <cellStyle name="Comma 9" xfId="1115"/>
    <cellStyle name="Comma 9 2" xfId="1116"/>
    <cellStyle name="Comma 9 3" xfId="1117"/>
    <cellStyle name="Comma 9 4" xfId="1118"/>
    <cellStyle name="Comma 98" xfId="1119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3" xfId="1127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" xfId="2678" builtinId="8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3" xfId="1573"/>
    <cellStyle name="Normal 16 3 2" xfId="1574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_4_Pembangunan JTM Baru Penyulang CPU 5" xfId="1596"/>
    <cellStyle name="Normal 19" xfId="1597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3" xfId="1618"/>
    <cellStyle name="Normal 2 11 4" xfId="1619"/>
    <cellStyle name="Normal 2 12" xfId="1620"/>
    <cellStyle name="Normal 2 12 2" xfId="1621"/>
    <cellStyle name="Normal 2 12_SR DERET_ASLI" xfId="1622"/>
    <cellStyle name="Normal 2 13" xfId="1623"/>
    <cellStyle name="Normal 2 14" xfId="1624"/>
    <cellStyle name="Normal 2 15" xfId="1625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1" xfId="1636"/>
    <cellStyle name="Normal 2 2 12" xfId="1637"/>
    <cellStyle name="Normal 2 2 13" xfId="1638"/>
    <cellStyle name="Normal 2 2 14" xfId="1639"/>
    <cellStyle name="Normal 2 2 15" xfId="1640"/>
    <cellStyle name="Normal 2 2 16" xfId="164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5" xfId="1674"/>
    <cellStyle name="Normal 2 2 6" xfId="1675"/>
    <cellStyle name="Normal 2 2 7" xfId="1676"/>
    <cellStyle name="Normal 2 2 8" xfId="1677"/>
    <cellStyle name="Normal 2 2 9" xfId="1678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_RAB_LOK_SPK_Tw_II_2010-2" xfId="1880"/>
    <cellStyle name="Normal 21" xfId="1881"/>
    <cellStyle name="Normal 21 2" xfId="1882"/>
    <cellStyle name="Normal 21 2 2" xfId="1883"/>
    <cellStyle name="Normal 21_DATA DINGO &amp; IMG _OK" xfId="1884"/>
    <cellStyle name="Normal 22" xfId="1885"/>
    <cellStyle name="Normal 23" xfId="1886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3" xfId="2024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3" xfId="2046"/>
    <cellStyle name="Normal 9 2 2 4" xfId="2047"/>
    <cellStyle name="Normal 9 2 3" xfId="2048"/>
    <cellStyle name="Normal 9 2 3 2" xfId="2049"/>
    <cellStyle name="Normal 9 2 3 2 2" xfId="2050"/>
    <cellStyle name="Normal 9 2 3 2 2 2" xfId="2051"/>
    <cellStyle name="Normal 9 2 3 2 2 3" xfId="2052"/>
    <cellStyle name="Normal 9 2 3 2 2 4" xfId="2053"/>
    <cellStyle name="Normal 9 2 3 2 2 5" xfId="2054"/>
    <cellStyle name="Normal 9 2 3 2 3" xfId="2055"/>
    <cellStyle name="Normal 9 2 3 2 3 2" xfId="2056"/>
    <cellStyle name="Normal 9 2 3 2 3 3" xfId="2057"/>
    <cellStyle name="Normal 9 2 3 2 3 4" xfId="2058"/>
    <cellStyle name="Normal 9 2 3 2 4" xfId="2059"/>
    <cellStyle name="Normal 9 2 3 2 5" xfId="2060"/>
    <cellStyle name="Normal 9 2 3 2 6" xfId="2061"/>
    <cellStyle name="Normal 9 2 3 2_PETA POHON LITA TRW I 2010" xfId="2062"/>
    <cellStyle name="Normal 9 2 3 3" xfId="2063"/>
    <cellStyle name="Normal 9 2 3 4" xfId="2064"/>
    <cellStyle name="Normal 9 2 3 5" xfId="2065"/>
    <cellStyle name="Normal 9 2 3_FORMAT PETA&amp;LOKASI RABAS2 JUNI 2010" xfId="2066"/>
    <cellStyle name="Normal 9 2 4" xfId="2067"/>
    <cellStyle name="Normal 9 2 5" xfId="2068"/>
    <cellStyle name="Normal 9 2 6" xfId="2069"/>
    <cellStyle name="Normal 9 2_ENTRI RABAS-RABAS TRW IV_LT_qq" xfId="2070"/>
    <cellStyle name="Normal 9 3" xfId="2071"/>
    <cellStyle name="Normal 9 4" xfId="2072"/>
    <cellStyle name="Normal 9 5" xfId="2073"/>
    <cellStyle name="Normal 9 6" xfId="2074"/>
    <cellStyle name="Normal 9 6 2" xfId="2075"/>
    <cellStyle name="Normal 9 7" xfId="2076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_TRAFO" xfId="2126"/>
    <cellStyle name="Note 17" xfId="2127"/>
    <cellStyle name="Note 17 2" xfId="2128"/>
    <cellStyle name="Note 17 2 2" xfId="2129"/>
    <cellStyle name="Note 17 3" xfId="2130"/>
    <cellStyle name="Note 17_TRAFO" xfId="2131"/>
    <cellStyle name="Note 18" xfId="2132"/>
    <cellStyle name="Note 18 2" xfId="2133"/>
    <cellStyle name="Note 18 2 2" xfId="2134"/>
    <cellStyle name="Note 18 3" xfId="2135"/>
    <cellStyle name="Note 18_TRAFO" xfId="2136"/>
    <cellStyle name="Note 19" xfId="2137"/>
    <cellStyle name="Note 19 2" xfId="2138"/>
    <cellStyle name="Note 19 2 2" xfId="2139"/>
    <cellStyle name="Note 19 3" xfId="2140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_TRAFO" xfId="2153"/>
    <cellStyle name="Note 21" xfId="2154"/>
    <cellStyle name="Note 21 2" xfId="2155"/>
    <cellStyle name="Note 21 2 2" xfId="2156"/>
    <cellStyle name="Note 21 3" xfId="2157"/>
    <cellStyle name="Note 21_TRAFO" xfId="2158"/>
    <cellStyle name="Note 22" xfId="2159"/>
    <cellStyle name="Note 22 2" xfId="2160"/>
    <cellStyle name="Note 22 2 2" xfId="2161"/>
    <cellStyle name="Note 22 3" xfId="2162"/>
    <cellStyle name="Note 22_TRAFO" xfId="2163"/>
    <cellStyle name="Note 23" xfId="2164"/>
    <cellStyle name="Note 23 2" xfId="2165"/>
    <cellStyle name="Note 23 2 2" xfId="2166"/>
    <cellStyle name="Note 23 3" xfId="2167"/>
    <cellStyle name="Note 23_TRAFO" xfId="2168"/>
    <cellStyle name="Note 24" xfId="2169"/>
    <cellStyle name="Note 24 2" xfId="2170"/>
    <cellStyle name="Note 24 2 2" xfId="2171"/>
    <cellStyle name="Note 24 3" xfId="2172"/>
    <cellStyle name="Note 24_TRAFO" xfId="2173"/>
    <cellStyle name="Note 25" xfId="2174"/>
    <cellStyle name="Note 25 2" xfId="2175"/>
    <cellStyle name="Note 25 2 2" xfId="2176"/>
    <cellStyle name="Note 25 3" xfId="2177"/>
    <cellStyle name="Note 25_TRAFO" xfId="2178"/>
    <cellStyle name="Note 26" xfId="2179"/>
    <cellStyle name="Note 26 2" xfId="2180"/>
    <cellStyle name="Note 26 2 2" xfId="2181"/>
    <cellStyle name="Note 26 3" xfId="2182"/>
    <cellStyle name="Note 26_TRAFO" xfId="2183"/>
    <cellStyle name="Note 27" xfId="2184"/>
    <cellStyle name="Note 27 2" xfId="2185"/>
    <cellStyle name="Note 27 2 2" xfId="2186"/>
    <cellStyle name="Note 27 3" xfId="2187"/>
    <cellStyle name="Note 27_TRAFO" xfId="2188"/>
    <cellStyle name="Note 28" xfId="2189"/>
    <cellStyle name="Note 28 2" xfId="2190"/>
    <cellStyle name="Note 28 2 2" xfId="2191"/>
    <cellStyle name="Note 28 3" xfId="2192"/>
    <cellStyle name="Note 28_TRAFO" xfId="2193"/>
    <cellStyle name="Note 29" xfId="2194"/>
    <cellStyle name="Note 29 2" xfId="2195"/>
    <cellStyle name="Note 29 2 2" xfId="2196"/>
    <cellStyle name="Note 29 3" xfId="2197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_TRAFO" xfId="2208"/>
    <cellStyle name="Note 31" xfId="2209"/>
    <cellStyle name="Note 31 2" xfId="2210"/>
    <cellStyle name="Note 31 2 2" xfId="2211"/>
    <cellStyle name="Note 31 3" xfId="2212"/>
    <cellStyle name="Note 31_TRAFO" xfId="2213"/>
    <cellStyle name="Note 32" xfId="2214"/>
    <cellStyle name="Note 32 2" xfId="2215"/>
    <cellStyle name="Note 32 2 2" xfId="2216"/>
    <cellStyle name="Note 32 3" xfId="2217"/>
    <cellStyle name="Note 32_TRAFO" xfId="2218"/>
    <cellStyle name="Note 33" xfId="2219"/>
    <cellStyle name="Note 33 2" xfId="2220"/>
    <cellStyle name="Note 33 2 2" xfId="2221"/>
    <cellStyle name="Note 33 3" xfId="2222"/>
    <cellStyle name="Note 33_TRAFO" xfId="2223"/>
    <cellStyle name="Note 34" xfId="2224"/>
    <cellStyle name="Note 34 2" xfId="2225"/>
    <cellStyle name="Note 34 2 2" xfId="2226"/>
    <cellStyle name="Note 34 3" xfId="2227"/>
    <cellStyle name="Note 34_TRAFO" xfId="2228"/>
    <cellStyle name="Note 35" xfId="2229"/>
    <cellStyle name="Note 35 2" xfId="2230"/>
    <cellStyle name="Note 35 2 2" xfId="2231"/>
    <cellStyle name="Note 35 3" xfId="2232"/>
    <cellStyle name="Note 35_TRAFO" xfId="2233"/>
    <cellStyle name="Note 36" xfId="2234"/>
    <cellStyle name="Note 36 2" xfId="2235"/>
    <cellStyle name="Note 36 2 2" xfId="2236"/>
    <cellStyle name="Note 36 3" xfId="2237"/>
    <cellStyle name="Note 36_TRAFO" xfId="2238"/>
    <cellStyle name="Note 37" xfId="2239"/>
    <cellStyle name="Note 37 2" xfId="2240"/>
    <cellStyle name="Note 37 2 2" xfId="2241"/>
    <cellStyle name="Note 37 3" xfId="2242"/>
    <cellStyle name="Note 37_TRAFO" xfId="2243"/>
    <cellStyle name="Note 38" xfId="2244"/>
    <cellStyle name="Note 38 2" xfId="2245"/>
    <cellStyle name="Note 38 2 2" xfId="2246"/>
    <cellStyle name="Note 38 3" xfId="2247"/>
    <cellStyle name="Note 38_TRAFO" xfId="2248"/>
    <cellStyle name="Note 39" xfId="2249"/>
    <cellStyle name="Note 39 2" xfId="2250"/>
    <cellStyle name="Note 39 2 2" xfId="2251"/>
    <cellStyle name="Note 39 3" xfId="2252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_TRAFO" xfId="2263"/>
    <cellStyle name="Note 41" xfId="2264"/>
    <cellStyle name="Note 41 2" xfId="2265"/>
    <cellStyle name="Note 41 2 2" xfId="2266"/>
    <cellStyle name="Note 41 3" xfId="2267"/>
    <cellStyle name="Note 41_TRAFO" xfId="2268"/>
    <cellStyle name="Note 42" xfId="2269"/>
    <cellStyle name="Note 42 2" xfId="2270"/>
    <cellStyle name="Note 42 2 2" xfId="2271"/>
    <cellStyle name="Note 42 3" xfId="2272"/>
    <cellStyle name="Note 42_TRAFO" xfId="2273"/>
    <cellStyle name="Note 43" xfId="2274"/>
    <cellStyle name="Note 43 2" xfId="2275"/>
    <cellStyle name="Note 43 2 2" xfId="2276"/>
    <cellStyle name="Note 43 3" xfId="2277"/>
    <cellStyle name="Note 43_TRAFO" xfId="2278"/>
    <cellStyle name="Note 44" xfId="2279"/>
    <cellStyle name="Note 44 2" xfId="2280"/>
    <cellStyle name="Note 44 2 2" xfId="2281"/>
    <cellStyle name="Note 44 3" xfId="2282"/>
    <cellStyle name="Note 44_TRAFO" xfId="2283"/>
    <cellStyle name="Note 45" xfId="2284"/>
    <cellStyle name="Note 45 2" xfId="2285"/>
    <cellStyle name="Note 45 2 2" xfId="2286"/>
    <cellStyle name="Note 45 3" xfId="2287"/>
    <cellStyle name="Note 45_TRAFO" xfId="2288"/>
    <cellStyle name="Note 46" xfId="2289"/>
    <cellStyle name="Note 46 2" xfId="2290"/>
    <cellStyle name="Note 46 2 2" xfId="2291"/>
    <cellStyle name="Note 46 3" xfId="2292"/>
    <cellStyle name="Note 46_TRAFO" xfId="2293"/>
    <cellStyle name="Note 47" xfId="2294"/>
    <cellStyle name="Note 47 2" xfId="2295"/>
    <cellStyle name="Note 47 2 2" xfId="2296"/>
    <cellStyle name="Note 47 3" xfId="2297"/>
    <cellStyle name="Note 47_TRAFO" xfId="2298"/>
    <cellStyle name="Note 48" xfId="2299"/>
    <cellStyle name="Note 48 2" xfId="2300"/>
    <cellStyle name="Note 48 2 2" xfId="2301"/>
    <cellStyle name="Note 48 3" xfId="2302"/>
    <cellStyle name="Note 48_TRAFO" xfId="2303"/>
    <cellStyle name="Note 49" xfId="2304"/>
    <cellStyle name="Note 49 2" xfId="2305"/>
    <cellStyle name="Note 49 2 2" xfId="2306"/>
    <cellStyle name="Note 49 3" xfId="2307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_TRAFO" xfId="2318"/>
    <cellStyle name="Note 51" xfId="2319"/>
    <cellStyle name="Note 51 2" xfId="2320"/>
    <cellStyle name="Note 51 2 2" xfId="2321"/>
    <cellStyle name="Note 51 3" xfId="2322"/>
    <cellStyle name="Note 51_TRAFO" xfId="2323"/>
    <cellStyle name="Note 52" xfId="2324"/>
    <cellStyle name="Note 52 2" xfId="2325"/>
    <cellStyle name="Note 52 2 2" xfId="2326"/>
    <cellStyle name="Note 52 3" xfId="2327"/>
    <cellStyle name="Note 52_TRAFO" xfId="2328"/>
    <cellStyle name="Note 53" xfId="2329"/>
    <cellStyle name="Note 53 2" xfId="2330"/>
    <cellStyle name="Note 53 2 2" xfId="2331"/>
    <cellStyle name="Note 53 3" xfId="2332"/>
    <cellStyle name="Note 53_TRAFO" xfId="2333"/>
    <cellStyle name="Note 54" xfId="2334"/>
    <cellStyle name="Note 54 2" xfId="2335"/>
    <cellStyle name="Note 54 2 2" xfId="2336"/>
    <cellStyle name="Note 54 3" xfId="2337"/>
    <cellStyle name="Note 54_TRAFO" xfId="2338"/>
    <cellStyle name="Note 55" xfId="2339"/>
    <cellStyle name="Note 55 2" xfId="2340"/>
    <cellStyle name="Note 55 2 2" xfId="2341"/>
    <cellStyle name="Note 55 3" xfId="2342"/>
    <cellStyle name="Note 55_TRAFO" xfId="2343"/>
    <cellStyle name="Note 56" xfId="2344"/>
    <cellStyle name="Note 56 2" xfId="2345"/>
    <cellStyle name="Note 56 2 2" xfId="2346"/>
    <cellStyle name="Note 56 3" xfId="2347"/>
    <cellStyle name="Note 56_TRAFO" xfId="2348"/>
    <cellStyle name="Note 57" xfId="2349"/>
    <cellStyle name="Note 57 2" xfId="2350"/>
    <cellStyle name="Note 57 2 2" xfId="2351"/>
    <cellStyle name="Note 57 3" xfId="2352"/>
    <cellStyle name="Note 57_TRAFO" xfId="2353"/>
    <cellStyle name="Note 58" xfId="2354"/>
    <cellStyle name="Note 58 2" xfId="2355"/>
    <cellStyle name="Note 58 2 2" xfId="2356"/>
    <cellStyle name="Note 58 3" xfId="2357"/>
    <cellStyle name="Note 58_TRAFO" xfId="2358"/>
    <cellStyle name="Note 59" xfId="2359"/>
    <cellStyle name="Note 59 2" xfId="2360"/>
    <cellStyle name="Note 59 2 2" xfId="2361"/>
    <cellStyle name="Note 59 3" xfId="2362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_TRAFO" xfId="2373"/>
    <cellStyle name="Note 61" xfId="2374"/>
    <cellStyle name="Note 61 2" xfId="2375"/>
    <cellStyle name="Note 61 2 2" xfId="2376"/>
    <cellStyle name="Note 61 3" xfId="2377"/>
    <cellStyle name="Note 61_TRAFO" xfId="2378"/>
    <cellStyle name="Note 62" xfId="2379"/>
    <cellStyle name="Note 62 2" xfId="2380"/>
    <cellStyle name="Note 62 2 2" xfId="2381"/>
    <cellStyle name="Note 62 3" xfId="2382"/>
    <cellStyle name="Note 62_TRAFO" xfId="2383"/>
    <cellStyle name="Note 63" xfId="2384"/>
    <cellStyle name="Note 63 2" xfId="2385"/>
    <cellStyle name="Note 63 2 2" xfId="2386"/>
    <cellStyle name="Note 63 3" xfId="2387"/>
    <cellStyle name="Note 63_TRAFO" xfId="2388"/>
    <cellStyle name="Note 64" xfId="2389"/>
    <cellStyle name="Note 64 2" xfId="2390"/>
    <cellStyle name="Note 64 2 2" xfId="2391"/>
    <cellStyle name="Note 64 3" xfId="2392"/>
    <cellStyle name="Note 64_TRAFO" xfId="2393"/>
    <cellStyle name="Note 65" xfId="2394"/>
    <cellStyle name="Note 65 2" xfId="2395"/>
    <cellStyle name="Note 65 2 2" xfId="2396"/>
    <cellStyle name="Note 65 3" xfId="2397"/>
    <cellStyle name="Note 65_TRAFO" xfId="2398"/>
    <cellStyle name="Note 66" xfId="2399"/>
    <cellStyle name="Note 66 2" xfId="2400"/>
    <cellStyle name="Note 66 2 2" xfId="2401"/>
    <cellStyle name="Note 66 3" xfId="2402"/>
    <cellStyle name="Note 66_TRAFO" xfId="2403"/>
    <cellStyle name="Note 67" xfId="2404"/>
    <cellStyle name="Note 67 2" xfId="2405"/>
    <cellStyle name="Note 67 2 2" xfId="2406"/>
    <cellStyle name="Note 67 3" xfId="2407"/>
    <cellStyle name="Note 67_TRAFO" xfId="2408"/>
    <cellStyle name="Note 68" xfId="2409"/>
    <cellStyle name="Note 68 2" xfId="2410"/>
    <cellStyle name="Note 68 2 2" xfId="2411"/>
    <cellStyle name="Note 68 3" xfId="2412"/>
    <cellStyle name="Note 68_TRAFO" xfId="2413"/>
    <cellStyle name="Note 69" xfId="2414"/>
    <cellStyle name="Note 69 2" xfId="2415"/>
    <cellStyle name="Note 69 2 2" xfId="2416"/>
    <cellStyle name="Note 69 3" xfId="2417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_TRAFO" xfId="2428"/>
    <cellStyle name="Note 71" xfId="2429"/>
    <cellStyle name="Note 71 2" xfId="2430"/>
    <cellStyle name="Note 71 2 2" xfId="2431"/>
    <cellStyle name="Note 71 3" xfId="2432"/>
    <cellStyle name="Note 71_TRAFO" xfId="2433"/>
    <cellStyle name="Note 72" xfId="2434"/>
    <cellStyle name="Note 72 2" xfId="2435"/>
    <cellStyle name="Note 72 2 2" xfId="2436"/>
    <cellStyle name="Note 72 3" xfId="2437"/>
    <cellStyle name="Note 72_TRAFO" xfId="2438"/>
    <cellStyle name="Note 73" xfId="2439"/>
    <cellStyle name="Note 73 2" xfId="2440"/>
    <cellStyle name="Note 73 2 2" xfId="2441"/>
    <cellStyle name="Note 73 3" xfId="2442"/>
    <cellStyle name="Note 73_TRAFO" xfId="2443"/>
    <cellStyle name="Note 74" xfId="2444"/>
    <cellStyle name="Note 74 2" xfId="2445"/>
    <cellStyle name="Note 74 2 2" xfId="2446"/>
    <cellStyle name="Note 74 3" xfId="2447"/>
    <cellStyle name="Note 74_TRAFO" xfId="2448"/>
    <cellStyle name="Note 75" xfId="2449"/>
    <cellStyle name="Note 75 2" xfId="2450"/>
    <cellStyle name="Note 75 2 2" xfId="2451"/>
    <cellStyle name="Note 75 3" xfId="2452"/>
    <cellStyle name="Note 75_TRAFO" xfId="2453"/>
    <cellStyle name="Note 76" xfId="2454"/>
    <cellStyle name="Note 76 2" xfId="2455"/>
    <cellStyle name="Note 76 2 2" xfId="2456"/>
    <cellStyle name="Note 76 3" xfId="2457"/>
    <cellStyle name="Note 76_TRAFO" xfId="2458"/>
    <cellStyle name="Note 77" xfId="2459"/>
    <cellStyle name="Note 77 2" xfId="2460"/>
    <cellStyle name="Note 77 2 2" xfId="2461"/>
    <cellStyle name="Note 77 3" xfId="2462"/>
    <cellStyle name="Note 77_TRAFO" xfId="2463"/>
    <cellStyle name="Note 78" xfId="2464"/>
    <cellStyle name="Note 78 2" xfId="2465"/>
    <cellStyle name="Note 78 2 2" xfId="2466"/>
    <cellStyle name="Note 78 3" xfId="2467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3" xfId="2528"/>
    <cellStyle name="Percent 2 2 2 2 2 4" xfId="2529"/>
    <cellStyle name="Percent 2 2 2 2 2 5" xfId="2530"/>
    <cellStyle name="Percent 2 2 2 2 3" xfId="2531"/>
    <cellStyle name="Percent 2 2 2 2 4" xfId="2532"/>
    <cellStyle name="Percent 2 2 2 2 5" xfId="2533"/>
    <cellStyle name="Percent 2 2 2 3" xfId="2534"/>
    <cellStyle name="Percent 2 2 2 4" xfId="2535"/>
    <cellStyle name="Percent 2 2 2 5" xfId="2536"/>
    <cellStyle name="Percent 2 2 2 6" xfId="2537"/>
    <cellStyle name="Percent 2 2 2 7" xfId="2538"/>
    <cellStyle name="Percent 2 2 3" xfId="2539"/>
    <cellStyle name="Percent 2 2 4" xfId="2540"/>
    <cellStyle name="Percent 2 2 5" xfId="2541"/>
    <cellStyle name="Percent 2 2 6" xfId="2542"/>
    <cellStyle name="Percent 2 3" xfId="2543"/>
    <cellStyle name="Percent 2 3 2" xfId="2544"/>
    <cellStyle name="Percent 2 3 2 2" xfId="2545"/>
    <cellStyle name="Percent 2 4" xfId="2546"/>
    <cellStyle name="Percent 2 5" xfId="2547"/>
    <cellStyle name="Percent 2 6" xfId="2548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3" xfId="2558"/>
    <cellStyle name="Percent 5 2 4" xfId="2559"/>
    <cellStyle name="Percent 5 2 5" xfId="2560"/>
    <cellStyle name="Percent 5 2 6" xfId="2561"/>
    <cellStyle name="Percent 5 2 6 2" xfId="2562"/>
    <cellStyle name="Percent 5 3" xfId="2563"/>
    <cellStyle name="Percent 5 4" xfId="2564"/>
    <cellStyle name="Percent 5 5" xfId="2565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5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0.65598537585325289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emf"/><Relationship Id="rId13" Type="http://schemas.openxmlformats.org/officeDocument/2006/relationships/image" Target="../media/image24.emf"/><Relationship Id="rId3" Type="http://schemas.openxmlformats.org/officeDocument/2006/relationships/image" Target="../media/image14.emf"/><Relationship Id="rId7" Type="http://schemas.openxmlformats.org/officeDocument/2006/relationships/image" Target="../media/image18.emf"/><Relationship Id="rId12" Type="http://schemas.openxmlformats.org/officeDocument/2006/relationships/image" Target="../media/image23.emf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6" Type="http://schemas.openxmlformats.org/officeDocument/2006/relationships/image" Target="../media/image17.emf"/><Relationship Id="rId11" Type="http://schemas.openxmlformats.org/officeDocument/2006/relationships/image" Target="../media/image22.emf"/><Relationship Id="rId5" Type="http://schemas.openxmlformats.org/officeDocument/2006/relationships/image" Target="../media/image16.emf"/><Relationship Id="rId10" Type="http://schemas.openxmlformats.org/officeDocument/2006/relationships/image" Target="../media/image21.emf"/><Relationship Id="rId4" Type="http://schemas.openxmlformats.org/officeDocument/2006/relationships/image" Target="../media/image15.emf"/><Relationship Id="rId9" Type="http://schemas.openxmlformats.org/officeDocument/2006/relationships/image" Target="../media/image20.emf"/><Relationship Id="rId14" Type="http://schemas.openxmlformats.org/officeDocument/2006/relationships/image" Target="../media/image25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2477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6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176894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6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276280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698646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280145</xdr:colOff>
      <xdr:row>5</xdr:row>
      <xdr:rowOff>177501</xdr:rowOff>
    </xdr:from>
    <xdr:to>
      <xdr:col>11</xdr:col>
      <xdr:colOff>280145</xdr:colOff>
      <xdr:row>47</xdr:row>
      <xdr:rowOff>31825</xdr:rowOff>
    </xdr:to>
    <xdr:sp macro="" textlink="">
      <xdr:nvSpPr>
        <xdr:cNvPr id="104" name="Freeform 103"/>
        <xdr:cNvSpPr/>
      </xdr:nvSpPr>
      <xdr:spPr>
        <a:xfrm rot="16200000" flipH="1" flipV="1">
          <a:off x="750792" y="4234031"/>
          <a:ext cx="6544236" cy="0"/>
        </a:xfrm>
        <a:custGeom>
          <a:avLst/>
          <a:gdLst>
            <a:gd name="connsiteX0" fmla="*/ 0 w 78441"/>
            <a:gd name="connsiteY0" fmla="*/ 0 h 4572000"/>
            <a:gd name="connsiteX1" fmla="*/ 78441 w 78441"/>
            <a:gd name="connsiteY1" fmla="*/ 4572000 h 4572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8441" h="4572000">
              <a:moveTo>
                <a:pt x="0" y="0"/>
              </a:moveTo>
              <a:lnTo>
                <a:pt x="78441" y="4572000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359085</xdr:colOff>
      <xdr:row>18</xdr:row>
      <xdr:rowOff>5600</xdr:rowOff>
    </xdr:from>
    <xdr:to>
      <xdr:col>16</xdr:col>
      <xdr:colOff>100853</xdr:colOff>
      <xdr:row>21</xdr:row>
      <xdr:rowOff>112058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D06C4CAD-8DC7-400B-A071-691CFCE22186}"/>
            </a:ext>
          </a:extLst>
        </xdr:cNvPr>
        <xdr:cNvSpPr txBox="1"/>
      </xdr:nvSpPr>
      <xdr:spPr>
        <a:xfrm>
          <a:off x="4863850" y="2941541"/>
          <a:ext cx="884768" cy="57710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900">
              <a:solidFill>
                <a:srgbClr val="FF0000"/>
              </a:solidFill>
            </a:rPr>
            <a:t>TSEL</a:t>
          </a:r>
        </a:p>
        <a:p>
          <a:pPr algn="ctr"/>
          <a:r>
            <a:rPr lang="en-ID" sz="900">
              <a:solidFill>
                <a:srgbClr val="FF0000"/>
              </a:solidFill>
            </a:rPr>
            <a:t>11KVA</a:t>
          </a:r>
        </a:p>
      </xdr:txBody>
    </xdr:sp>
    <xdr:clientData/>
  </xdr:twoCellAnchor>
  <xdr:twoCellAnchor>
    <xdr:from>
      <xdr:col>25</xdr:col>
      <xdr:colOff>377880</xdr:colOff>
      <xdr:row>5</xdr:row>
      <xdr:rowOff>11205</xdr:rowOff>
    </xdr:from>
    <xdr:to>
      <xdr:col>29</xdr:col>
      <xdr:colOff>302806</xdr:colOff>
      <xdr:row>19</xdr:row>
      <xdr:rowOff>13819</xdr:rowOff>
    </xdr:to>
    <xdr:grpSp>
      <xdr:nvGrpSpPr>
        <xdr:cNvPr id="338" name="Group 337">
          <a:extLst>
            <a:ext uri="{FF2B5EF4-FFF2-40B4-BE49-F238E27FC236}">
              <a16:creationId xmlns:a16="http://schemas.microsoft.com/office/drawing/2014/main" id="{3272FCED-27AC-4666-B493-368E935D7FE8}"/>
            </a:ext>
          </a:extLst>
        </xdr:cNvPr>
        <xdr:cNvGrpSpPr/>
      </xdr:nvGrpSpPr>
      <xdr:grpSpPr>
        <a:xfrm>
          <a:off x="9488262" y="795617"/>
          <a:ext cx="1504956" cy="2311026"/>
          <a:chOff x="9713886" y="808452"/>
          <a:chExt cx="1342558" cy="1766630"/>
        </a:xfrm>
      </xdr:grpSpPr>
      <xdr:grpSp>
        <xdr:nvGrpSpPr>
          <xdr:cNvPr id="339" name="Group 13">
            <a:extLst>
              <a:ext uri="{FF2B5EF4-FFF2-40B4-BE49-F238E27FC236}">
                <a16:creationId xmlns:a16="http://schemas.microsoft.com/office/drawing/2014/main" id="{A0059BBC-E168-4487-ABCB-F2C36979501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98" name="Oval 1">
              <a:extLst>
                <a:ext uri="{FF2B5EF4-FFF2-40B4-BE49-F238E27FC236}">
                  <a16:creationId xmlns:a16="http://schemas.microsoft.com/office/drawing/2014/main" id="{EE2C7EA2-736A-4B0C-8CE9-D78B960BEE9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9" name="Straight Connector 3">
              <a:extLst>
                <a:ext uri="{FF2B5EF4-FFF2-40B4-BE49-F238E27FC236}">
                  <a16:creationId xmlns:a16="http://schemas.microsoft.com/office/drawing/2014/main" id="{F9DD5BB1-B664-43CD-A2DF-F9AC8EA3B169}"/>
                </a:ext>
              </a:extLst>
            </xdr:cNvPr>
            <xdr:cNvCxnSpPr>
              <a:stCxn id="355" idx="1"/>
              <a:endCxn id="35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0" name="Straight Connector 7">
              <a:extLst>
                <a:ext uri="{FF2B5EF4-FFF2-40B4-BE49-F238E27FC236}">
                  <a16:creationId xmlns:a16="http://schemas.microsoft.com/office/drawing/2014/main" id="{310D98A3-A077-48BD-9D71-F32C25DA0881}"/>
                </a:ext>
              </a:extLst>
            </xdr:cNvPr>
            <xdr:cNvCxnSpPr>
              <a:stCxn id="355" idx="3"/>
              <a:endCxn id="35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0" name="Oval 339">
            <a:extLst>
              <a:ext uri="{FF2B5EF4-FFF2-40B4-BE49-F238E27FC236}">
                <a16:creationId xmlns:a16="http://schemas.microsoft.com/office/drawing/2014/main" id="{B0631DF8-7DDC-40E5-93B3-C7A05F661C1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41" name="Group 340">
            <a:extLst>
              <a:ext uri="{FF2B5EF4-FFF2-40B4-BE49-F238E27FC236}">
                <a16:creationId xmlns:a16="http://schemas.microsoft.com/office/drawing/2014/main" id="{F221FAA8-24B8-49F6-8073-8C14EDBFBA9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95" name="Oval 394">
              <a:extLst>
                <a:ext uri="{FF2B5EF4-FFF2-40B4-BE49-F238E27FC236}">
                  <a16:creationId xmlns:a16="http://schemas.microsoft.com/office/drawing/2014/main" id="{008C3D79-3222-4BCC-A712-84D331EDD15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6" name="Straight Connector 395">
              <a:extLst>
                <a:ext uri="{FF2B5EF4-FFF2-40B4-BE49-F238E27FC236}">
                  <a16:creationId xmlns:a16="http://schemas.microsoft.com/office/drawing/2014/main" id="{4F57EC5B-A8B2-4683-8087-938FA0247EA4}"/>
                </a:ext>
              </a:extLst>
            </xdr:cNvPr>
            <xdr:cNvCxnSpPr>
              <a:stCxn id="395" idx="1"/>
              <a:endCxn id="39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7" name="Straight Connector 396">
              <a:extLst>
                <a:ext uri="{FF2B5EF4-FFF2-40B4-BE49-F238E27FC236}">
                  <a16:creationId xmlns:a16="http://schemas.microsoft.com/office/drawing/2014/main" id="{D6651655-D6B1-49C9-8CC1-8942D2467267}"/>
                </a:ext>
              </a:extLst>
            </xdr:cNvPr>
            <xdr:cNvCxnSpPr>
              <a:stCxn id="395" idx="3"/>
              <a:endCxn id="39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2" name="Oval 341">
            <a:extLst>
              <a:ext uri="{FF2B5EF4-FFF2-40B4-BE49-F238E27FC236}">
                <a16:creationId xmlns:a16="http://schemas.microsoft.com/office/drawing/2014/main" id="{E18DEDF3-0006-4F74-9AFC-B7EA8937096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3" name="Straight Connector 342">
            <a:extLst>
              <a:ext uri="{FF2B5EF4-FFF2-40B4-BE49-F238E27FC236}">
                <a16:creationId xmlns:a16="http://schemas.microsoft.com/office/drawing/2014/main" id="{2C2C62A0-A880-48E4-B25A-447657578BDC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343">
            <a:extLst>
              <a:ext uri="{FF2B5EF4-FFF2-40B4-BE49-F238E27FC236}">
                <a16:creationId xmlns:a16="http://schemas.microsoft.com/office/drawing/2014/main" id="{EBD1BF7F-1418-43C3-9EFF-89A9A7204DF6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4E2637C5-E075-4737-B973-F39E412BB72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0076E6E7-E71B-419E-A93A-DD139456B10A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E1BF1193-D79A-45D6-9074-FA1C5CC3FFC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8" name="Straight Connector 347">
            <a:extLst>
              <a:ext uri="{FF2B5EF4-FFF2-40B4-BE49-F238E27FC236}">
                <a16:creationId xmlns:a16="http://schemas.microsoft.com/office/drawing/2014/main" id="{4BB021E1-8B0D-4D8B-B2A7-9C2CD3625A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7D9E4838-0E93-44B5-ACA8-DECA4250143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F96A8F58-456E-4AA5-86BF-3D1EF065A123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1" name="Straight Connector 350">
            <a:extLst>
              <a:ext uri="{FF2B5EF4-FFF2-40B4-BE49-F238E27FC236}">
                <a16:creationId xmlns:a16="http://schemas.microsoft.com/office/drawing/2014/main" id="{87279DA1-A869-45D3-A7E1-885675B40EA8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2" name="Straight Connector 351">
            <a:extLst>
              <a:ext uri="{FF2B5EF4-FFF2-40B4-BE49-F238E27FC236}">
                <a16:creationId xmlns:a16="http://schemas.microsoft.com/office/drawing/2014/main" id="{B35D657E-AC79-4E25-93B0-EDFF48F54BD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Straight Connector 352">
            <a:extLst>
              <a:ext uri="{FF2B5EF4-FFF2-40B4-BE49-F238E27FC236}">
                <a16:creationId xmlns:a16="http://schemas.microsoft.com/office/drawing/2014/main" id="{FC2CF546-D08D-45EF-98B9-F5D1660E4A1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4" name="Straight Connector 353">
            <a:extLst>
              <a:ext uri="{FF2B5EF4-FFF2-40B4-BE49-F238E27FC236}">
                <a16:creationId xmlns:a16="http://schemas.microsoft.com/office/drawing/2014/main" id="{D623DA68-6CAB-43D3-A8A4-CE459A04AD9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5" name="Straight Connector 50">
            <a:extLst>
              <a:ext uri="{FF2B5EF4-FFF2-40B4-BE49-F238E27FC236}">
                <a16:creationId xmlns:a16="http://schemas.microsoft.com/office/drawing/2014/main" id="{A37D3E54-E71C-4AE2-B09B-9E1B0F118C8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Straight Connector 355">
            <a:extLst>
              <a:ext uri="{FF2B5EF4-FFF2-40B4-BE49-F238E27FC236}">
                <a16:creationId xmlns:a16="http://schemas.microsoft.com/office/drawing/2014/main" id="{D9124D4C-9445-47C6-8B83-EA6960C6C8AC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7" name="Straight Connector 52">
            <a:extLst>
              <a:ext uri="{FF2B5EF4-FFF2-40B4-BE49-F238E27FC236}">
                <a16:creationId xmlns:a16="http://schemas.microsoft.com/office/drawing/2014/main" id="{5F4CF603-728D-489A-8737-2D61FBDC67E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Straight Connector 357">
            <a:extLst>
              <a:ext uri="{FF2B5EF4-FFF2-40B4-BE49-F238E27FC236}">
                <a16:creationId xmlns:a16="http://schemas.microsoft.com/office/drawing/2014/main" id="{F9D4E4D7-D856-469D-8E67-6B6BD60CAE0D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Straight Connector 358">
            <a:extLst>
              <a:ext uri="{FF2B5EF4-FFF2-40B4-BE49-F238E27FC236}">
                <a16:creationId xmlns:a16="http://schemas.microsoft.com/office/drawing/2014/main" id="{E8D5E050-6E4E-41D9-9ADA-1995EE864A2E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0" name="Straight Connector 359">
            <a:extLst>
              <a:ext uri="{FF2B5EF4-FFF2-40B4-BE49-F238E27FC236}">
                <a16:creationId xmlns:a16="http://schemas.microsoft.com/office/drawing/2014/main" id="{C634EF6E-3FD6-4142-B474-9E9047757181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ECD67FCE-9647-411D-858A-46847461325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Straight Connector 361">
            <a:extLst>
              <a:ext uri="{FF2B5EF4-FFF2-40B4-BE49-F238E27FC236}">
                <a16:creationId xmlns:a16="http://schemas.microsoft.com/office/drawing/2014/main" id="{3EF1BFD8-8D77-4962-B838-FDC261702834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F07231D3-3E45-42E6-8632-401AAC684461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91C81B03-E8BA-4603-89F7-79A616328C7F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5" name="Isosceles Triangle 364">
            <a:extLst>
              <a:ext uri="{FF2B5EF4-FFF2-40B4-BE49-F238E27FC236}">
                <a16:creationId xmlns:a16="http://schemas.microsoft.com/office/drawing/2014/main" id="{9FF02A70-B079-4396-A685-0C5272356EE5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66" name="Isosceles Triangle 365">
            <a:extLst>
              <a:ext uri="{FF2B5EF4-FFF2-40B4-BE49-F238E27FC236}">
                <a16:creationId xmlns:a16="http://schemas.microsoft.com/office/drawing/2014/main" id="{C31B0938-312E-4AC4-8FBD-581B448C8B08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67" name="Group 73">
            <a:extLst>
              <a:ext uri="{FF2B5EF4-FFF2-40B4-BE49-F238E27FC236}">
                <a16:creationId xmlns:a16="http://schemas.microsoft.com/office/drawing/2014/main" id="{6D3A4BE7-280D-4003-887E-980F1807F4BD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393" name="TextBox 392">
              <a:extLst>
                <a:ext uri="{FF2B5EF4-FFF2-40B4-BE49-F238E27FC236}">
                  <a16:creationId xmlns:a16="http://schemas.microsoft.com/office/drawing/2014/main" id="{AC08712B-8469-4FC0-9403-6F89E2DA0AA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94" name="Straight Connector 393">
              <a:extLst>
                <a:ext uri="{FF2B5EF4-FFF2-40B4-BE49-F238E27FC236}">
                  <a16:creationId xmlns:a16="http://schemas.microsoft.com/office/drawing/2014/main" id="{CF8F09C6-4AE6-4AD9-80BC-6C1F1A3E7FA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8" name="Group 74">
            <a:extLst>
              <a:ext uri="{FF2B5EF4-FFF2-40B4-BE49-F238E27FC236}">
                <a16:creationId xmlns:a16="http://schemas.microsoft.com/office/drawing/2014/main" id="{E1B3F5F2-C8A4-46D8-B223-210302816F9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91" name="TextBox 390">
              <a:extLst>
                <a:ext uri="{FF2B5EF4-FFF2-40B4-BE49-F238E27FC236}">
                  <a16:creationId xmlns:a16="http://schemas.microsoft.com/office/drawing/2014/main" id="{98608E58-5F68-4842-948A-BB4B2B175C4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92" name="Straight Connector 391">
              <a:extLst>
                <a:ext uri="{FF2B5EF4-FFF2-40B4-BE49-F238E27FC236}">
                  <a16:creationId xmlns:a16="http://schemas.microsoft.com/office/drawing/2014/main" id="{24CB6642-F85E-453E-94B6-0F23B4CA4E42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9" name="Group 89">
            <a:extLst>
              <a:ext uri="{FF2B5EF4-FFF2-40B4-BE49-F238E27FC236}">
                <a16:creationId xmlns:a16="http://schemas.microsoft.com/office/drawing/2014/main" id="{49D9216F-9CFD-4216-9200-5B00D24E26A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7" name="Straight Connector 386">
              <a:extLst>
                <a:ext uri="{FF2B5EF4-FFF2-40B4-BE49-F238E27FC236}">
                  <a16:creationId xmlns:a16="http://schemas.microsoft.com/office/drawing/2014/main" id="{65D87665-C2CB-4A4A-BF62-B6E55DEC736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8" name="Straight Connector 79">
              <a:extLst>
                <a:ext uri="{FF2B5EF4-FFF2-40B4-BE49-F238E27FC236}">
                  <a16:creationId xmlns:a16="http://schemas.microsoft.com/office/drawing/2014/main" id="{3078B31A-D4B2-44B4-9865-FA74DB010D2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9" name="Straight Connector 80">
              <a:extLst>
                <a:ext uri="{FF2B5EF4-FFF2-40B4-BE49-F238E27FC236}">
                  <a16:creationId xmlns:a16="http://schemas.microsoft.com/office/drawing/2014/main" id="{0E80E68C-144D-4936-B91B-4EB1EC2BE64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0" name="Straight Connector 88">
              <a:extLst>
                <a:ext uri="{FF2B5EF4-FFF2-40B4-BE49-F238E27FC236}">
                  <a16:creationId xmlns:a16="http://schemas.microsoft.com/office/drawing/2014/main" id="{52AAB6B2-674B-4C85-843D-AD2AE1F80CD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0" name="Group 90">
            <a:extLst>
              <a:ext uri="{FF2B5EF4-FFF2-40B4-BE49-F238E27FC236}">
                <a16:creationId xmlns:a16="http://schemas.microsoft.com/office/drawing/2014/main" id="{28C5169D-ED59-4EAF-9312-EF41B72AF236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3" name="Straight Connector 382">
              <a:extLst>
                <a:ext uri="{FF2B5EF4-FFF2-40B4-BE49-F238E27FC236}">
                  <a16:creationId xmlns:a16="http://schemas.microsoft.com/office/drawing/2014/main" id="{5B5D57D4-E5C1-4B5A-A69A-462BFF6772B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4" name="Straight Connector 383">
              <a:extLst>
                <a:ext uri="{FF2B5EF4-FFF2-40B4-BE49-F238E27FC236}">
                  <a16:creationId xmlns:a16="http://schemas.microsoft.com/office/drawing/2014/main" id="{A6A01F44-C661-4A6D-9B2A-30D5A35E07E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5" name="Straight Connector 384">
              <a:extLst>
                <a:ext uri="{FF2B5EF4-FFF2-40B4-BE49-F238E27FC236}">
                  <a16:creationId xmlns:a16="http://schemas.microsoft.com/office/drawing/2014/main" id="{ECD6A8F1-D405-4776-AFAF-09BE0BA3AA9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6" name="Straight Connector 385">
              <a:extLst>
                <a:ext uri="{FF2B5EF4-FFF2-40B4-BE49-F238E27FC236}">
                  <a16:creationId xmlns:a16="http://schemas.microsoft.com/office/drawing/2014/main" id="{1CC380E4-E8E2-4AFA-9C75-421DAF64CB2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71" name="Straight Connector 370">
            <a:extLst>
              <a:ext uri="{FF2B5EF4-FFF2-40B4-BE49-F238E27FC236}">
                <a16:creationId xmlns:a16="http://schemas.microsoft.com/office/drawing/2014/main" id="{34BD92AF-799D-4B62-B4CF-0F866B1989D7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2" name="Straight Connector 371">
            <a:extLst>
              <a:ext uri="{FF2B5EF4-FFF2-40B4-BE49-F238E27FC236}">
                <a16:creationId xmlns:a16="http://schemas.microsoft.com/office/drawing/2014/main" id="{E7FE6E38-2112-4FFE-9CE5-D7A923CD472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3" name="Straight Arrow Connector 372">
            <a:extLst>
              <a:ext uri="{FF2B5EF4-FFF2-40B4-BE49-F238E27FC236}">
                <a16:creationId xmlns:a16="http://schemas.microsoft.com/office/drawing/2014/main" id="{7C1CBD05-F5A5-453F-8720-D422730BD46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Arrow Connector 373">
            <a:extLst>
              <a:ext uri="{FF2B5EF4-FFF2-40B4-BE49-F238E27FC236}">
                <a16:creationId xmlns:a16="http://schemas.microsoft.com/office/drawing/2014/main" id="{29B95EA8-4C80-4365-81F2-A45DD0C8019D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75" name="Group 155">
            <a:extLst>
              <a:ext uri="{FF2B5EF4-FFF2-40B4-BE49-F238E27FC236}">
                <a16:creationId xmlns:a16="http://schemas.microsoft.com/office/drawing/2014/main" id="{6A83EADA-EDC3-4872-86B2-539ACFB54D13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380" name="Isosceles Triangle 379">
              <a:extLst>
                <a:ext uri="{FF2B5EF4-FFF2-40B4-BE49-F238E27FC236}">
                  <a16:creationId xmlns:a16="http://schemas.microsoft.com/office/drawing/2014/main" id="{528817BD-B203-453A-B7B9-562EE88671B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1" name="Isosceles Triangle 380">
              <a:extLst>
                <a:ext uri="{FF2B5EF4-FFF2-40B4-BE49-F238E27FC236}">
                  <a16:creationId xmlns:a16="http://schemas.microsoft.com/office/drawing/2014/main" id="{92184D22-5DB8-41B4-A0F8-26D741AB8135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2" name="Isosceles Triangle 381">
              <a:extLst>
                <a:ext uri="{FF2B5EF4-FFF2-40B4-BE49-F238E27FC236}">
                  <a16:creationId xmlns:a16="http://schemas.microsoft.com/office/drawing/2014/main" id="{F2A6AE2C-2F5B-4CA1-9FBE-764261485F79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76" name="Group 134">
            <a:extLst>
              <a:ext uri="{FF2B5EF4-FFF2-40B4-BE49-F238E27FC236}">
                <a16:creationId xmlns:a16="http://schemas.microsoft.com/office/drawing/2014/main" id="{A868FBC8-B2A3-488E-AF24-23545CA3CA5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377" name="Isosceles Triangle 376">
              <a:extLst>
                <a:ext uri="{FF2B5EF4-FFF2-40B4-BE49-F238E27FC236}">
                  <a16:creationId xmlns:a16="http://schemas.microsoft.com/office/drawing/2014/main" id="{46F851E5-AE7D-422A-BD62-FE47FEFA5BEE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8" name="Isosceles Triangle 377">
              <a:extLst>
                <a:ext uri="{FF2B5EF4-FFF2-40B4-BE49-F238E27FC236}">
                  <a16:creationId xmlns:a16="http://schemas.microsoft.com/office/drawing/2014/main" id="{59ECA33C-C0C7-4289-8D28-BD84BC15E278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9" name="Isosceles Triangle 378">
              <a:extLst>
                <a:ext uri="{FF2B5EF4-FFF2-40B4-BE49-F238E27FC236}">
                  <a16:creationId xmlns:a16="http://schemas.microsoft.com/office/drawing/2014/main" id="{2DA64D0B-E1DC-47CF-8B04-340B63D6796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196104</xdr:colOff>
      <xdr:row>18</xdr:row>
      <xdr:rowOff>67271</xdr:rowOff>
    </xdr:from>
    <xdr:to>
      <xdr:col>27</xdr:col>
      <xdr:colOff>8454</xdr:colOff>
      <xdr:row>19</xdr:row>
      <xdr:rowOff>142188</xdr:rowOff>
    </xdr:to>
    <xdr:grpSp>
      <xdr:nvGrpSpPr>
        <xdr:cNvPr id="401" name="Group 400">
          <a:extLst>
            <a:ext uri="{FF2B5EF4-FFF2-40B4-BE49-F238E27FC236}">
              <a16:creationId xmlns:a16="http://schemas.microsoft.com/office/drawing/2014/main" id="{6A9C061F-BAF8-40E3-A7B7-F32944E96D9A}"/>
            </a:ext>
          </a:extLst>
        </xdr:cNvPr>
        <xdr:cNvGrpSpPr/>
      </xdr:nvGrpSpPr>
      <xdr:grpSpPr>
        <a:xfrm>
          <a:off x="9687486" y="3003212"/>
          <a:ext cx="249380" cy="231800"/>
          <a:chOff x="11040342" y="3026321"/>
          <a:chExt cx="251113" cy="183360"/>
        </a:xfrm>
      </xdr:grpSpPr>
      <xdr:sp macro="" textlink="">
        <xdr:nvSpPr>
          <xdr:cNvPr id="402" name="Freeform 198">
            <a:extLst>
              <a:ext uri="{FF2B5EF4-FFF2-40B4-BE49-F238E27FC236}">
                <a16:creationId xmlns:a16="http://schemas.microsoft.com/office/drawing/2014/main" id="{76DA0981-41FC-41A2-9C3A-814043EFC686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3" name="Straight Connector 88">
            <a:extLst>
              <a:ext uri="{FF2B5EF4-FFF2-40B4-BE49-F238E27FC236}">
                <a16:creationId xmlns:a16="http://schemas.microsoft.com/office/drawing/2014/main" id="{5C49DBAA-0FCA-4992-976B-3A1C2BD352BC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160090</xdr:colOff>
      <xdr:row>18</xdr:row>
      <xdr:rowOff>16437</xdr:rowOff>
    </xdr:from>
    <xdr:to>
      <xdr:col>29</xdr:col>
      <xdr:colOff>30203</xdr:colOff>
      <xdr:row>19</xdr:row>
      <xdr:rowOff>91354</xdr:rowOff>
    </xdr:to>
    <xdr:grpSp>
      <xdr:nvGrpSpPr>
        <xdr:cNvPr id="404" name="Group 403">
          <a:extLst>
            <a:ext uri="{FF2B5EF4-FFF2-40B4-BE49-F238E27FC236}">
              <a16:creationId xmlns:a16="http://schemas.microsoft.com/office/drawing/2014/main" id="{AAEA0AA3-C350-4668-9361-594DF9C5A7FA}"/>
            </a:ext>
          </a:extLst>
        </xdr:cNvPr>
        <xdr:cNvGrpSpPr/>
      </xdr:nvGrpSpPr>
      <xdr:grpSpPr>
        <a:xfrm>
          <a:off x="10469502" y="2952378"/>
          <a:ext cx="251113" cy="231800"/>
          <a:chOff x="11040342" y="3026321"/>
          <a:chExt cx="251113" cy="183360"/>
        </a:xfrm>
      </xdr:grpSpPr>
      <xdr:sp macro="" textlink="">
        <xdr:nvSpPr>
          <xdr:cNvPr id="405" name="Freeform 201">
            <a:extLst>
              <a:ext uri="{FF2B5EF4-FFF2-40B4-BE49-F238E27FC236}">
                <a16:creationId xmlns:a16="http://schemas.microsoft.com/office/drawing/2014/main" id="{40355B87-24C1-41B0-BD2C-8D1B577CDBEC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6" name="Straight Connector 88">
            <a:extLst>
              <a:ext uri="{FF2B5EF4-FFF2-40B4-BE49-F238E27FC236}">
                <a16:creationId xmlns:a16="http://schemas.microsoft.com/office/drawing/2014/main" id="{60303581-CE23-44FB-8B70-C2CEBD5F138D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313766</xdr:colOff>
      <xdr:row>16</xdr:row>
      <xdr:rowOff>17371</xdr:rowOff>
    </xdr:from>
    <xdr:to>
      <xdr:col>9</xdr:col>
      <xdr:colOff>56029</xdr:colOff>
      <xdr:row>21</xdr:row>
      <xdr:rowOff>0</xdr:rowOff>
    </xdr:to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1770531" y="2639547"/>
          <a:ext cx="1266263" cy="7670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K2-603/127/26/23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CG 136 50 KVA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2 CM2-11M</a:t>
          </a:r>
        </a:p>
      </xdr:txBody>
    </xdr:sp>
    <xdr:clientData/>
  </xdr:twoCellAnchor>
  <xdr:twoCellAnchor>
    <xdr:from>
      <xdr:col>9</xdr:col>
      <xdr:colOff>324971</xdr:colOff>
      <xdr:row>19</xdr:row>
      <xdr:rowOff>33619</xdr:rowOff>
    </xdr:from>
    <xdr:to>
      <xdr:col>10</xdr:col>
      <xdr:colOff>75953</xdr:colOff>
      <xdr:row>20</xdr:row>
      <xdr:rowOff>19298</xdr:rowOff>
    </xdr:to>
    <xdr:sp macro="" textlink="">
      <xdr:nvSpPr>
        <xdr:cNvPr id="460" name="Isosceles Triangle 459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3305736" y="3126443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267581</xdr:colOff>
      <xdr:row>27</xdr:row>
      <xdr:rowOff>80152</xdr:rowOff>
    </xdr:from>
    <xdr:to>
      <xdr:col>11</xdr:col>
      <xdr:colOff>6897</xdr:colOff>
      <xdr:row>28</xdr:row>
      <xdr:rowOff>31983</xdr:rowOff>
    </xdr:to>
    <xdr:grpSp>
      <xdr:nvGrpSpPr>
        <xdr:cNvPr id="143" name="Group 142"/>
        <xdr:cNvGrpSpPr/>
      </xdr:nvGrpSpPr>
      <xdr:grpSpPr>
        <a:xfrm>
          <a:off x="3629346" y="4428034"/>
          <a:ext cx="120316" cy="108714"/>
          <a:chOff x="4552393" y="5147729"/>
          <a:chExt cx="228791" cy="193248"/>
        </a:xfrm>
      </xdr:grpSpPr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310451</xdr:colOff>
      <xdr:row>19</xdr:row>
      <xdr:rowOff>89647</xdr:rowOff>
    </xdr:from>
    <xdr:to>
      <xdr:col>13</xdr:col>
      <xdr:colOff>369794</xdr:colOff>
      <xdr:row>19</xdr:row>
      <xdr:rowOff>121457</xdr:rowOff>
    </xdr:to>
    <xdr:cxnSp macro="">
      <xdr:nvCxnSpPr>
        <xdr:cNvPr id="149" name="Straight Connector 148"/>
        <xdr:cNvCxnSpPr/>
      </xdr:nvCxnSpPr>
      <xdr:spPr>
        <a:xfrm flipH="1">
          <a:off x="3672216" y="3182471"/>
          <a:ext cx="1202343" cy="3181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160198</xdr:colOff>
      <xdr:row>25</xdr:row>
      <xdr:rowOff>2643</xdr:rowOff>
    </xdr:from>
    <xdr:to>
      <xdr:col>10</xdr:col>
      <xdr:colOff>312598</xdr:colOff>
      <xdr:row>25</xdr:row>
      <xdr:rowOff>140595</xdr:rowOff>
    </xdr:to>
    <xdr:grpSp>
      <xdr:nvGrpSpPr>
        <xdr:cNvPr id="116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3521963" y="4036761"/>
          <a:ext cx="152400" cy="137952"/>
          <a:chOff x="3725636" y="1945820"/>
          <a:chExt cx="153760" cy="144237"/>
        </a:xfrm>
        <a:noFill/>
      </xdr:grpSpPr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17" idx="1"/>
            <a:endCxn id="11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17" idx="3"/>
            <a:endCxn id="11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236205</xdr:colOff>
      <xdr:row>31</xdr:row>
      <xdr:rowOff>149628</xdr:rowOff>
    </xdr:from>
    <xdr:to>
      <xdr:col>10</xdr:col>
      <xdr:colOff>356521</xdr:colOff>
      <xdr:row>32</xdr:row>
      <xdr:rowOff>101460</xdr:rowOff>
    </xdr:to>
    <xdr:grpSp>
      <xdr:nvGrpSpPr>
        <xdr:cNvPr id="148" name="Group 147"/>
        <xdr:cNvGrpSpPr/>
      </xdr:nvGrpSpPr>
      <xdr:grpSpPr>
        <a:xfrm>
          <a:off x="3597970" y="5113834"/>
          <a:ext cx="120316" cy="108714"/>
          <a:chOff x="4552393" y="5147729"/>
          <a:chExt cx="228791" cy="193248"/>
        </a:xfrm>
      </xdr:grpSpPr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350504</xdr:colOff>
      <xdr:row>19</xdr:row>
      <xdr:rowOff>51016</xdr:rowOff>
    </xdr:from>
    <xdr:to>
      <xdr:col>13</xdr:col>
      <xdr:colOff>89820</xdr:colOff>
      <xdr:row>20</xdr:row>
      <xdr:rowOff>2848</xdr:rowOff>
    </xdr:to>
    <xdr:grpSp>
      <xdr:nvGrpSpPr>
        <xdr:cNvPr id="163" name="Group 162"/>
        <xdr:cNvGrpSpPr/>
      </xdr:nvGrpSpPr>
      <xdr:grpSpPr>
        <a:xfrm>
          <a:off x="4474269" y="3143840"/>
          <a:ext cx="120316" cy="108714"/>
          <a:chOff x="4552393" y="5147729"/>
          <a:chExt cx="228791" cy="193248"/>
        </a:xfrm>
      </xdr:grpSpPr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230841</xdr:colOff>
      <xdr:row>22</xdr:row>
      <xdr:rowOff>118782</xdr:rowOff>
    </xdr:from>
    <xdr:to>
      <xdr:col>10</xdr:col>
      <xdr:colOff>351157</xdr:colOff>
      <xdr:row>23</xdr:row>
      <xdr:rowOff>70614</xdr:rowOff>
    </xdr:to>
    <xdr:grpSp>
      <xdr:nvGrpSpPr>
        <xdr:cNvPr id="174" name="Group 173"/>
        <xdr:cNvGrpSpPr/>
      </xdr:nvGrpSpPr>
      <xdr:grpSpPr>
        <a:xfrm>
          <a:off x="3592606" y="3682253"/>
          <a:ext cx="120316" cy="108714"/>
          <a:chOff x="4552393" y="5147729"/>
          <a:chExt cx="228791" cy="193248"/>
        </a:xfrm>
      </xdr:grpSpPr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153474</xdr:colOff>
      <xdr:row>19</xdr:row>
      <xdr:rowOff>74360</xdr:rowOff>
    </xdr:from>
    <xdr:to>
      <xdr:col>10</xdr:col>
      <xdr:colOff>305874</xdr:colOff>
      <xdr:row>20</xdr:row>
      <xdr:rowOff>55430</xdr:rowOff>
    </xdr:to>
    <xdr:grpSp>
      <xdr:nvGrpSpPr>
        <xdr:cNvPr id="179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3515239" y="3167184"/>
          <a:ext cx="152400" cy="137952"/>
          <a:chOff x="3725636" y="1945820"/>
          <a:chExt cx="153760" cy="144237"/>
        </a:xfrm>
        <a:noFill/>
      </xdr:grpSpPr>
      <xdr:sp macro="" textlink="">
        <xdr:nvSpPr>
          <xdr:cNvPr id="180" name="Oval 179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80" idx="1"/>
            <a:endCxn id="18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80" idx="3"/>
            <a:endCxn id="18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145677</xdr:colOff>
      <xdr:row>18</xdr:row>
      <xdr:rowOff>0</xdr:rowOff>
    </xdr:from>
    <xdr:to>
      <xdr:col>10</xdr:col>
      <xdr:colOff>145677</xdr:colOff>
      <xdr:row>36</xdr:row>
      <xdr:rowOff>67323</xdr:rowOff>
    </xdr:to>
    <xdr:cxnSp macro="">
      <xdr:nvCxnSpPr>
        <xdr:cNvPr id="4" name="Straight Connector 3"/>
        <xdr:cNvCxnSpPr/>
      </xdr:nvCxnSpPr>
      <xdr:spPr>
        <a:xfrm>
          <a:off x="3507442" y="2935941"/>
          <a:ext cx="0" cy="2880000"/>
        </a:xfrm>
        <a:prstGeom prst="line">
          <a:avLst/>
        </a:prstGeom>
        <a:ln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298077</xdr:colOff>
      <xdr:row>19</xdr:row>
      <xdr:rowOff>118781</xdr:rowOff>
    </xdr:from>
    <xdr:to>
      <xdr:col>10</xdr:col>
      <xdr:colOff>298077</xdr:colOff>
      <xdr:row>36</xdr:row>
      <xdr:rowOff>100853</xdr:rowOff>
    </xdr:to>
    <xdr:cxnSp macro="">
      <xdr:nvCxnSpPr>
        <xdr:cNvPr id="160" name="Straight Connector 159"/>
        <xdr:cNvCxnSpPr/>
      </xdr:nvCxnSpPr>
      <xdr:spPr>
        <a:xfrm>
          <a:off x="3659842" y="3211605"/>
          <a:ext cx="0" cy="2637866"/>
        </a:xfrm>
        <a:prstGeom prst="line">
          <a:avLst/>
        </a:prstGeom>
        <a:ln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145677</xdr:colOff>
      <xdr:row>29</xdr:row>
      <xdr:rowOff>112059</xdr:rowOff>
    </xdr:from>
    <xdr:to>
      <xdr:col>10</xdr:col>
      <xdr:colOff>298077</xdr:colOff>
      <xdr:row>30</xdr:row>
      <xdr:rowOff>104334</xdr:rowOff>
    </xdr:to>
    <xdr:grpSp>
      <xdr:nvGrpSpPr>
        <xdr:cNvPr id="167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3507442" y="4773706"/>
          <a:ext cx="152400" cy="137952"/>
          <a:chOff x="3725636" y="1945820"/>
          <a:chExt cx="153760" cy="144237"/>
        </a:xfrm>
        <a:noFill/>
      </xdr:grpSpPr>
      <xdr:sp macro="" textlink="">
        <xdr:nvSpPr>
          <xdr:cNvPr id="168" name="Oval 167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68" idx="1"/>
            <a:endCxn id="16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188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68" idx="3"/>
            <a:endCxn id="16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152400</xdr:colOff>
      <xdr:row>34</xdr:row>
      <xdr:rowOff>29136</xdr:rowOff>
    </xdr:from>
    <xdr:to>
      <xdr:col>10</xdr:col>
      <xdr:colOff>304800</xdr:colOff>
      <xdr:row>35</xdr:row>
      <xdr:rowOff>10206</xdr:rowOff>
    </xdr:to>
    <xdr:grpSp>
      <xdr:nvGrpSpPr>
        <xdr:cNvPr id="190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3514165" y="5463989"/>
          <a:ext cx="152400" cy="137952"/>
          <a:chOff x="3725636" y="1945820"/>
          <a:chExt cx="153760" cy="144237"/>
        </a:xfrm>
        <a:noFill/>
      </xdr:grpSpPr>
      <xdr:sp macro="" textlink="">
        <xdr:nvSpPr>
          <xdr:cNvPr id="191" name="Oval 190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91" idx="1"/>
            <a:endCxn id="19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91" idx="3"/>
            <a:endCxn id="19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264459</xdr:colOff>
      <xdr:row>34</xdr:row>
      <xdr:rowOff>6725</xdr:rowOff>
    </xdr:from>
    <xdr:to>
      <xdr:col>10</xdr:col>
      <xdr:colOff>15441</xdr:colOff>
      <xdr:row>34</xdr:row>
      <xdr:rowOff>149286</xdr:rowOff>
    </xdr:to>
    <xdr:sp macro="" textlink="">
      <xdr:nvSpPr>
        <xdr:cNvPr id="194" name="Isosceles Triangle 193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3245224" y="5441578"/>
          <a:ext cx="131982" cy="142561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376518</xdr:colOff>
      <xdr:row>34</xdr:row>
      <xdr:rowOff>1683</xdr:rowOff>
    </xdr:from>
    <xdr:to>
      <xdr:col>9</xdr:col>
      <xdr:colOff>44823</xdr:colOff>
      <xdr:row>38</xdr:row>
      <xdr:rowOff>141195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1833283" y="5436536"/>
          <a:ext cx="1192305" cy="7670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K2-603/127/26/20</a:t>
          </a:r>
        </a:p>
        <a:p>
          <a:r>
            <a:rPr lang="en-US" sz="1000" strike="noStrike" baseline="0">
              <a:solidFill>
                <a:sysClr val="windowText" lastClr="000000"/>
              </a:solidFill>
            </a:rPr>
            <a:t>1 CG 136 50 KVA</a:t>
          </a:r>
        </a:p>
        <a:p>
          <a:endParaRPr lang="en-US" sz="1000" strike="noStrik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-Presentasi2004/2005formnewrev2/2005newformrev2/RKAP2005%20UNIT/TM1/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F3" sqref="F3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9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5" t="s">
        <v>1134</v>
      </c>
      <c r="C4" s="525"/>
      <c r="D4" s="525"/>
      <c r="E4" s="525"/>
      <c r="F4" s="525"/>
      <c r="G4" s="525"/>
      <c r="H4" s="52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512">
        <v>44995</v>
      </c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6" t="s">
        <v>0</v>
      </c>
      <c r="C7" s="526" t="s">
        <v>1</v>
      </c>
      <c r="D7" s="527" t="s">
        <v>42</v>
      </c>
      <c r="E7" s="527" t="s">
        <v>43</v>
      </c>
      <c r="F7" s="527" t="s">
        <v>1135</v>
      </c>
      <c r="G7" s="528" t="s">
        <v>41</v>
      </c>
      <c r="H7" s="524" t="s">
        <v>1042</v>
      </c>
      <c r="I7" s="524" t="s">
        <v>1137</v>
      </c>
      <c r="J7" s="524" t="s">
        <v>1026</v>
      </c>
      <c r="K7" s="518" t="s">
        <v>1024</v>
      </c>
      <c r="L7" s="519"/>
    </row>
    <row r="8" spans="1:12" ht="15" customHeight="1">
      <c r="B8" s="526"/>
      <c r="C8" s="526"/>
      <c r="D8" s="527"/>
      <c r="E8" s="527"/>
      <c r="F8" s="527"/>
      <c r="G8" s="528"/>
      <c r="H8" s="524"/>
      <c r="I8" s="524"/>
      <c r="J8" s="524"/>
      <c r="K8" s="520"/>
      <c r="L8" s="521"/>
    </row>
    <row r="9" spans="1:12" ht="15" customHeight="1">
      <c r="B9" s="526"/>
      <c r="C9" s="526"/>
      <c r="D9" s="527"/>
      <c r="E9" s="527"/>
      <c r="F9" s="527"/>
      <c r="G9" s="528"/>
      <c r="H9" s="524"/>
      <c r="I9" s="524"/>
      <c r="J9" s="524"/>
      <c r="K9" s="522"/>
      <c r="L9" s="52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2</v>
      </c>
      <c r="G15" s="41">
        <f ca="1">IF(ISERROR(OFFSET('HARGA SATUAN'!$I$6,MATCH(C15,'HARGA SATUAN'!$C$7:$C$1492,0),0)),"",OFFSET('HARGA SATUAN'!$I$6,MATCH(C15,'HARGA SATUAN'!$C$7:$C$1492,0),0))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 2 x 16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35</v>
      </c>
      <c r="G16" s="41">
        <f ca="1">IF(ISERROR(OFFSET('HARGA SATUAN'!$I$6,MATCH(C16,'HARGA SATUAN'!$C$7:$C$1492,0),0)),"",OFFSET('HARGA SATUAN'!$I$6,MATCH(C16,'HARGA SATUAN'!$C$7:$C$1492,0),0))</f>
        <v>6600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SUMIFS(RAB!$F$14:$F$51,RAB!$C$14:$C$51,C714)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SUMIFS(RAB!$F$14:$F$51,RAB!$C$14:$C$51,C715)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SUMIFS(RAB!$F$14:$F$51,RAB!$C$14:$C$51,C716)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SUMIFS(RAB!$F$14:$F$51,RAB!$C$14:$C$51,C717)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SUMIFS(RAB!$F$14:$F$51,RAB!$C$14:$C$51,C718)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SUMIFS(RAB!$F$14:$F$51,RAB!$C$14:$C$51,C719)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SUMIFS(RAB!$F$14:$F$51,RAB!$C$14:$C$51,C720)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SUMIFS(RAB!$F$14:$F$51,RAB!$C$14:$C$51,C721)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SUMIFS(RAB!$F$14:$F$51,RAB!$C$14:$C$51,C722)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SUMIFS(RAB!$F$14:$F$51,RAB!$C$14:$C$51,C723)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SUMIFS(RAB!$F$14:$F$51,RAB!$C$14:$C$51,C724)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SUMIFS(RAB!$F$14:$F$51,RAB!$C$14:$C$51,C725)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SUMIFS(RAB!$F$14:$F$51,RAB!$C$14:$C$51,C726)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SUMIFS(RAB!$F$14:$F$51,RAB!$C$14:$C$51,C727)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SUMIFS(RAB!$F$14:$F$51,RAB!$C$14:$C$51,C728)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SUMIFS(RAB!$F$14:$F$51,RAB!$C$14:$C$51,C729)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SUMIFS(RAB!$F$14:$F$51,RAB!$C$14:$C$51,C730)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SUMIFS(RAB!$F$14:$F$51,RAB!$C$14:$C$51,C731)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SUMIFS(RAB!$F$14:$F$51,RAB!$C$14:$C$51,C732)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SUMIFS(RAB!$F$14:$F$51,RAB!$C$14:$C$51,C733)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SUMIFS(RAB!$F$14:$F$51,RAB!$C$14:$C$51,C734)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SUMIFS(RAB!$F$14:$F$51,RAB!$C$14:$C$51,C735)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SUMIFS(RAB!$F$14:$F$51,RAB!$C$14:$C$51,C736)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SUMIFS(RAB!$F$14:$F$51,RAB!$C$14:$C$51,C737)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SUMIFS(RAB!$F$14:$F$51,RAB!$C$14:$C$51,C738)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SUMIFS(RAB!$F$14:$F$51,RAB!$C$14:$C$51,C739)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SUMIFS(RAB!$F$14:$F$51,RAB!$C$14:$C$51,C740)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SUMIFS(RAB!$F$14:$F$51,RAB!$C$14:$C$51,C741)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SUMIFS(RAB!$F$14:$F$51,RAB!$C$14:$C$51,C742)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SUMIFS(RAB!$F$14:$F$51,RAB!$C$14:$C$51,C743)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SUMIFS(RAB!$F$14:$F$51,RAB!$C$14:$C$51,C744)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SUMIFS(RAB!$F$14:$F$51,RAB!$C$14:$C$51,C745)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SUMIFS(RAB!$F$14:$F$51,RAB!$C$14:$C$51,C746)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SUMIFS(RAB!$F$14:$F$51,RAB!$C$14:$C$51,C747)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SUMIFS(RAB!$F$14:$F$51,RAB!$C$14:$C$51,C748)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SUMIFS(RAB!$F$14:$F$51,RAB!$C$14:$C$51,C749)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SUMIFS(RAB!$F$14:$F$51,RAB!$C$14:$C$51,C750)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SUMIFS(RAB!$F$14:$F$51,RAB!$C$14:$C$51,C751)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SUMIFS(RAB!$F$14:$F$51,RAB!$C$14:$C$51,C752)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SUMIFS(RAB!$F$14:$F$51,RAB!$C$14:$C$51,C753)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SUMIFS(RAB!$F$14:$F$51,RAB!$C$14:$C$51,C754)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SUMIFS(RAB!$F$14:$F$51,RAB!$C$14:$C$51,C755)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SUMIFS(RAB!$F$14:$F$51,RAB!$C$14:$C$51,C756)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SUMIFS(RAB!$F$14:$F$51,RAB!$C$14:$C$51,C757)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SUMIFS(RAB!$F$14:$F$51,RAB!$C$14:$C$51,C758)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SUMIFS(RAB!$F$14:$F$51,RAB!$C$14:$C$51,C759)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SUMIFS(RAB!$F$14:$F$51,RAB!$C$14:$C$51,C760)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SUMIFS(RAB!$F$14:$F$51,RAB!$C$14:$C$51,C761)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SUMIFS(RAB!$F$14:$F$51,RAB!$C$14:$C$51,C762)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SUMIFS(RAB!$F$14:$F$51,RAB!$C$14:$C$51,C763)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SUMIFS(RAB!$F$14:$F$51,RAB!$C$14:$C$51,C764)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SUMIFS(RAB!$F$14:$F$51,RAB!$C$14:$C$51,C765)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SUMIFS(RAB!$F$14:$F$51,RAB!$C$14:$C$51,C766)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SUMIFS(RAB!$F$14:$F$51,RAB!$C$14:$C$51,C767)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SUMIFS(RAB!$F$14:$F$51,RAB!$C$14:$C$51,C768)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SUMIFS(RAB!$F$14:$F$51,RAB!$C$14:$C$51,C769)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SUMIFS(RAB!$F$14:$F$51,RAB!$C$14:$C$51,C770)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SUMIFS(RAB!$F$14:$F$51,RAB!$C$14:$C$51,C771)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SUMIFS(RAB!$F$14:$F$51,RAB!$C$14:$C$51,C772)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SUMIFS(RAB!$F$14:$F$51,RAB!$C$14:$C$51,C773)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SUMIFS(RAB!$F$14:$F$51,RAB!$C$14:$C$51,C774)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SUMIFS(RAB!$F$14:$F$51,RAB!$C$14:$C$51,C775)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SUMIFS(RAB!$F$14:$F$51,RAB!$C$14:$C$51,C776)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SUMIFS(RAB!$F$14:$F$51,RAB!$C$14:$C$51,C777)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SUMIFS(RAB!$F$14:$F$51,RAB!$C$14:$C$51,C778)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SUMIFS(RAB!$F$14:$F$51,RAB!$C$14:$C$51,C779)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SUMIFS(RAB!$F$14:$F$51,RAB!$C$14:$C$51,C780)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SUMIFS(RAB!$F$14:$F$51,RAB!$C$14:$C$51,C781)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SUMIFS(RAB!$F$14:$F$51,RAB!$C$14:$C$51,C782)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SUMIFS(RAB!$F$14:$F$51,RAB!$C$14:$C$51,C783)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SUMIFS(RAB!$F$14:$F$51,RAB!$C$14:$C$51,C784)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SUMIFS(RAB!$F$14:$F$51,RAB!$C$14:$C$51,C785)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SUMIFS(RAB!$F$14:$F$51,RAB!$C$14:$C$51,C786)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SUMIFS(RAB!$F$14:$F$51,RAB!$C$14:$C$51,C787)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SUMIFS(RAB!$F$14:$F$51,RAB!$C$14:$C$51,C788)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SUMIFS(RAB!$F$14:$F$51,RAB!$C$14:$C$51,C789)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SUMIFS(RAB!$F$14:$F$51,RAB!$C$14:$C$51,C790)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SUMIFS(RAB!$F$14:$F$51,RAB!$C$14:$C$51,C791)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SUMIFS(RAB!$F$14:$F$51,RAB!$C$14:$C$51,C792)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SUMIFS(RAB!$F$14:$F$51,RAB!$C$14:$C$51,C793)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SUMIFS(RAB!$F$14:$F$51,RAB!$C$14:$C$51,C794)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SUMIFS(RAB!$F$14:$F$51,RAB!$C$14:$C$51,C795)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SUMIFS(RAB!$F$14:$F$51,RAB!$C$14:$C$51,C796)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SUMIFS(RAB!$F$14:$F$51,RAB!$C$14:$C$51,C797)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SUMIFS(RAB!$F$14:$F$51,RAB!$C$14:$C$51,C798)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SUMIFS(RAB!$F$14:$F$51,RAB!$C$14:$C$51,C799)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SUMIFS(RAB!$F$14:$F$51,RAB!$C$14:$C$51,C800)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SUMIFS(RAB!$F$14:$F$51,RAB!$C$14:$C$51,C801)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SUMIFS(RAB!$F$14:$F$51,RAB!$C$14:$C$51,C802)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SUMIFS(RAB!$F$14:$F$51,RAB!$C$14:$C$51,C803)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SUMIFS(RAB!$F$14:$F$51,RAB!$C$14:$C$51,C804)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SUMIFS(RAB!$F$14:$F$51,RAB!$C$14:$C$51,C805)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SUMIFS(RAB!$F$14:$F$51,RAB!$C$14:$C$51,C806)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SUMIFS(RAB!$F$14:$F$51,RAB!$C$14:$C$51,C807)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SUMIFS(RAB!$F$14:$F$51,RAB!$C$14:$C$51,C808)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SUMIFS(RAB!$F$14:$F$51,RAB!$C$14:$C$51,C809)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SUMIFS(RAB!$F$14:$F$51,RAB!$C$14:$C$51,C810)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SUMIFS(RAB!$F$14:$F$51,RAB!$C$14:$C$51,C811)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SUMIFS(RAB!$F$14:$F$51,RAB!$C$14:$C$51,C812)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SUMIFS(RAB!$F$14:$F$51,RAB!$C$14:$C$51,C813)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SUMIFS(RAB!$F$14:$F$51,RAB!$C$14:$C$51,C814)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SUMIFS(RAB!$F$14:$F$51,RAB!$C$14:$C$51,C815)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SUMIFS(RAB!$F$14:$F$51,RAB!$C$14:$C$51,C816)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SUMIFS(RAB!$F$14:$F$51,RAB!$C$14:$C$51,C817)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SUMIFS(RAB!$F$14:$F$51,RAB!$C$14:$C$51,C818)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SUMIFS(RAB!$F$14:$F$51,RAB!$C$14:$C$51,C819)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SUMIFS(RAB!$F$14:$F$51,RAB!$C$14:$C$51,C820)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SUMIFS(RAB!$F$14:$F$51,RAB!$C$14:$C$51,C821)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SUMIFS(RAB!$F$14:$F$51,RAB!$C$14:$C$51,C822)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SUMIFS(RAB!$F$14:$F$51,RAB!$C$14:$C$51,C823)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SUMIFS(RAB!$F$14:$F$51,RAB!$C$14:$C$51,C824)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SUMIFS(RAB!$F$14:$F$51,RAB!$C$14:$C$51,C825)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SUMIFS(RAB!$F$14:$F$51,RAB!$C$14:$C$51,C826)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SUMIFS(RAB!$F$14:$F$51,RAB!$C$14:$C$51,C827)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SUMIFS(RAB!$F$14:$F$51,RAB!$C$14:$C$51,C828)</f>
        <v>2</v>
      </c>
      <c r="E828" s="26">
        <f t="shared" ca="1" si="34"/>
        <v>1</v>
      </c>
      <c r="F828" s="26">
        <f ca="1">IF(D828=0,0,SUM($E$713:E828))</f>
        <v>4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SUMIFS(RAB!$F$14:$F$51,RAB!$C$14:$C$51,C829)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SUMIFS(RAB!$F$14:$F$51,RAB!$C$14:$C$51,C830)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SUMIFS(RAB!$F$14:$F$51,RAB!$C$14:$C$51,C831)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SUMIFS(RAB!$F$14:$F$51,RAB!$C$14:$C$51,C832)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SUMIFS(RAB!$F$14:$F$51,RAB!$C$14:$C$51,C833)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SUMIFS(RAB!$F$14:$F$51,RAB!$C$14:$C$51,C834)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SUMIFS(RAB!$F$14:$F$51,RAB!$C$14:$C$51,C835)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SUMIFS(RAB!$F$14:$F$51,RAB!$C$14:$C$51,C836)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SUMIFS(RAB!$F$14:$F$51,RAB!$C$14:$C$51,C837)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SUMIFS(RAB!$F$14:$F$51,RAB!$C$14:$C$51,C838)</f>
        <v>35</v>
      </c>
      <c r="E838" s="26">
        <f t="shared" ca="1" si="34"/>
        <v>1</v>
      </c>
      <c r="F838" s="26">
        <f ca="1">IF(D838=0,0,SUM($E$713:E838))</f>
        <v>5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SUMIFS(RAB!$F$14:$F$51,RAB!$C$14:$C$51,C839)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SUMIFS(RAB!$F$14:$F$51,RAB!$C$14:$C$51,C840)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SUMIFS(RAB!$F$14:$F$51,RAB!$C$14:$C$51,C841)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SUMIFS(RAB!$F$14:$F$51,RAB!$C$14:$C$51,C842)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SUMIFS(RAB!$F$14:$F$51,RAB!$C$14:$C$51,C843)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SUMIFS(RAB!$F$14:$F$51,RAB!$C$14:$C$51,C844)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SUMIFS(RAB!$F$14:$F$51,RAB!$C$14:$C$51,C845)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SUMIFS(RAB!$F$14:$F$51,RAB!$C$14:$C$51,C846)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SUMIFS(RAB!$F$14:$F$51,RAB!$C$14:$C$51,C847)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SUMIFS(RAB!$F$14:$F$51,RAB!$C$14:$C$51,C848)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SUMIFS(RAB!$F$14:$F$51,RAB!$C$14:$C$51,C849)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SUMIFS(RAB!$F$14:$F$51,RAB!$C$14:$C$51,C850)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SUMIFS(RAB!$F$14:$F$51,RAB!$C$14:$C$51,C851)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SUMIFS(RAB!$F$14:$F$51,RAB!$C$14:$C$51,C852)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SUMIFS(RAB!$F$14:$F$51,RAB!$C$14:$C$51,C853)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SUMIFS(RAB!$F$14:$F$51,RAB!$C$14:$C$51,C854)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SUMIFS(RAB!$F$14:$F$51,RAB!$C$14:$C$51,C855)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SUMIFS(RAB!$F$14:$F$51,RAB!$C$14:$C$51,C856)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SUMIFS(RAB!$F$14:$F$51,RAB!$C$14:$C$51,C857)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SUMIFS(RAB!$F$14:$F$51,RAB!$C$14:$C$51,C858)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SUMIFS(RAB!$F$14:$F$51,RAB!$C$14:$C$51,C859)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SUMIFS(RAB!$F$14:$F$51,RAB!$C$14:$C$51,C860)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SUMIFS(RAB!$F$14:$F$51,RAB!$C$14:$C$51,C861)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SUMIFS(RAB!$F$14:$F$51,RAB!$C$14:$C$51,C862)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SUMIFS(RAB!$F$14:$F$51,RAB!$C$14:$C$51,C863)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SUMIFS(RAB!$F$14:$F$51,RAB!$C$14:$C$51,C864)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SUMIFS(RAB!$F$14:$F$51,RAB!$C$14:$C$51,C865)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SUMIFS(RAB!$F$14:$F$51,RAB!$C$14:$C$51,C866)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SUMIFS(RAB!$F$14:$F$51,RAB!$C$14:$C$51,C867)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SUMIFS(RAB!$F$14:$F$51,RAB!$C$14:$C$51,C868)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SUMIFS(RAB!$F$14:$F$51,RAB!$C$14:$C$51,C869)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SUMIFS(RAB!$F$14:$F$51,RAB!$C$14:$C$51,C870)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SUMIFS(RAB!$F$14:$F$51,RAB!$C$14:$C$51,C871)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SUMIFS(RAB!$F$14:$F$51,RAB!$C$14:$C$51,C872)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SUMIFS(RAB!$F$14:$F$51,RAB!$C$14:$C$51,C873)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SUMIFS(RAB!$F$14:$F$51,RAB!$C$14:$C$51,C874)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SUMIFS(RAB!$F$14:$F$51,RAB!$C$14:$C$51,C875)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SUMIFS(RAB!$F$14:$F$51,RAB!$C$14:$C$51,C876)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SUMIFS(RAB!$F$14:$F$51,RAB!$C$14:$C$51,C877)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SUMIFS(RAB!$F$14:$F$51,RAB!$C$14:$C$51,C878)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SUMIFS(RAB!$F$14:$F$51,RAB!$C$14:$C$51,C879)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SUMIFS(RAB!$F$14:$F$51,RAB!$C$14:$C$51,C880)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SUMIFS(RAB!$F$14:$F$51,RAB!$C$14:$C$51,C881)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SUMIFS(RAB!$F$14:$F$51,RAB!$C$14:$C$51,C882)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SUMIFS(RAB!$F$14:$F$51,RAB!$C$14:$C$51,C883)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SUMIFS(RAB!$F$14:$F$51,RAB!$C$14:$C$51,C884)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SUMIFS(RAB!$F$14:$F$51,RAB!$C$14:$C$51,C885)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SUMIFS(RAB!$F$14:$F$51,RAB!$C$14:$C$51,C886)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SUMIFS(RAB!$F$14:$F$51,RAB!$C$14:$C$51,C887)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SUMIFS(RAB!$F$14:$F$51,RAB!$C$14:$C$51,C888)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SUMIFS(RAB!$F$14:$F$51,RAB!$C$14:$C$51,C889)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SUMIFS(RAB!$F$14:$F$51,RAB!$C$14:$C$51,C890)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SUMIFS(RAB!$F$14:$F$51,RAB!$C$14:$C$51,C891)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SUMIFS(RAB!$F$14:$F$51,RAB!$C$14:$C$51,C892)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SUMIFS(RAB!$F$14:$F$51,RAB!$C$14:$C$51,C893)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SUMIFS(RAB!$F$14:$F$51,RAB!$C$14:$C$51,C894)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SUMIFS(RAB!$F$14:$F$51,RAB!$C$14:$C$51,C895)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SUMIFS(RAB!$F$14:$F$51,RAB!$C$14:$C$51,C896)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SUMIFS(RAB!$F$14:$F$51,RAB!$C$14:$C$51,C897)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SUMIFS(RAB!$F$14:$F$51,RAB!$C$14:$C$51,C898)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SUMIFS(RAB!$F$14:$F$51,RAB!$C$14:$C$51,C899)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SUMIFS(RAB!$F$14:$F$51,RAB!$C$14:$C$51,C900)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SUMIFS(RAB!$F$14:$F$51,RAB!$C$14:$C$51,C901)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SUMIFS(RAB!$F$14:$F$51,RAB!$C$14:$C$51,C902)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SUMIFS(RAB!$F$14:$F$51,RAB!$C$14:$C$51,C903)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SUMIFS(RAB!$F$14:$F$51,RAB!$C$14:$C$51,C904)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SUMIFS(RAB!$F$14:$F$51,RAB!$C$14:$C$51,C905)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SUMIFS(RAB!$F$14:$F$51,RAB!$C$14:$C$51,C906)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SUMIFS(RAB!$F$14:$F$51,RAB!$C$14:$C$51,C907)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SUMIFS(RAB!$F$14:$F$51,RAB!$C$14:$C$51,C908)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SUMIFS(RAB!$F$14:$F$51,RAB!$C$14:$C$51,C909)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SUMIFS(RAB!$F$14:$F$51,RAB!$C$14:$C$51,C910)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SUMIFS(RAB!$F$14:$F$51,RAB!$C$14:$C$51,C911)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SUMIFS(RAB!$F$14:$F$51,RAB!$C$14:$C$51,C912)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SUMIFS(RAB!$F$14:$F$51,RAB!$C$14:$C$51,C913)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SUMIFS(RAB!$F$14:$F$51,RAB!$C$14:$C$51,C914)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SUMIFS(RAB!$F$14:$F$51,RAB!$C$14:$C$51,C915)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SUMIFS(RAB!$F$14:$F$51,RAB!$C$14:$C$51,C916)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SUMIFS(RAB!$F$14:$F$51,RAB!$C$14:$C$51,C917)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SUMIFS(RAB!$F$14:$F$51,RAB!$C$14:$C$51,C918)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SUMIFS(RAB!$F$14:$F$51,RAB!$C$14:$C$51,C919)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SUMIFS(RAB!$F$14:$F$51,RAB!$C$14:$C$51,C920)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SUMIFS(RAB!$F$14:$F$51,RAB!$C$14:$C$51,C921)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SUMIFS(RAB!$F$14:$F$51,RAB!$C$14:$C$51,C922)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SUMIFS(RAB!$F$14:$F$51,RAB!$C$14:$C$51,C923)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SUMIFS(RAB!$F$14:$F$51,RAB!$C$14:$C$51,C924)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SUMIFS(RAB!$F$14:$F$51,RAB!$C$14:$C$51,C925)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SUMIFS(RAB!$F$14:$F$51,RAB!$C$14:$C$51,C926)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SUMIFS(RAB!$F$14:$F$51,RAB!$C$14:$C$51,C927)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SUMIFS(RAB!$F$14:$F$51,RAB!$C$14:$C$51,C928)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SUMIFS(RAB!$F$14:$F$51,RAB!$C$14:$C$51,C929)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SUMIFS(RAB!$F$14:$F$51,RAB!$C$14:$C$51,C930)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SUMIFS(RAB!$F$14:$F$51,RAB!$C$14:$C$51,C931)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SUMIFS(RAB!$F$14:$F$51,RAB!$C$14:$C$51,C932)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SUMIFS(RAB!$F$14:$F$51,RAB!$C$14:$C$51,C933)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SUMIFS(RAB!$F$14:$F$51,RAB!$C$14:$C$51,C934)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SUMIFS(RAB!$F$14:$F$51,RAB!$C$14:$C$51,C935)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SUMIFS(RAB!$F$14:$F$51,RAB!$C$14:$C$51,C936)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SUMIFS(RAB!$F$14:$F$51,RAB!$C$14:$C$51,C937)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SUMIFS(RAB!$F$14:$F$51,RAB!$C$14:$C$51,C938)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SUMIFS(RAB!$F$14:$F$51,RAB!$C$14:$C$51,C939)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SUMIFS(RAB!$F$14:$F$51,RAB!$C$14:$C$51,C940)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SUMIFS(RAB!$F$14:$F$51,RAB!$C$14:$C$51,C941)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SUMIFS(RAB!$F$14:$F$51,RAB!$C$14:$C$51,C942)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SUMIFS(RAB!$F$14:$F$51,RAB!$C$14:$C$51,C943)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SUMIFS(RAB!$F$14:$F$51,RAB!$C$14:$C$51,C944)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SUMIFS(RAB!$F$14:$F$51,RAB!$C$14:$C$51,C945)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SUMIFS(RAB!$F$14:$F$51,RAB!$C$14:$C$51,C946)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SUMIFS(RAB!$F$14:$F$51,RAB!$C$14:$C$51,C947)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SUMIFS(RAB!$F$14:$F$51,RAB!$C$14:$C$51,C948)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SUMIFS(RAB!$F$14:$F$51,RAB!$C$14:$C$51,C949)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SUMIFS(RAB!$F$14:$F$51,RAB!$C$14:$C$51,C950)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SUMIFS(RAB!$F$14:$F$51,RAB!$C$14:$C$51,C951)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SUMIFS(RAB!$F$14:$F$51,RAB!$C$14:$C$51,C952)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SUMIFS(RAB!$F$14:$F$51,RAB!$C$14:$C$51,C953)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SUMIFS(RAB!$F$14:$F$51,RAB!$C$14:$C$51,C954)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SUMIFS(RAB!$F$14:$F$51,RAB!$C$14:$C$51,C955)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SUMIFS(RAB!$F$14:$F$51,RAB!$C$14:$C$51,C956)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SUMIFS(RAB!$F$14:$F$51,RAB!$C$14:$C$51,C957)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SUMIFS(RAB!$F$14:$F$51,RAB!$C$14:$C$51,C958)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SUMIFS(RAB!$F$14:$F$51,RAB!$C$14:$C$51,C959)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SUMIFS(RAB!$F$14:$F$51,RAB!$C$14:$C$51,C960)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SUMIFS(RAB!$F$14:$F$51,RAB!$C$14:$C$51,C961)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SUMIFS(RAB!$F$14:$F$51,RAB!$C$14:$C$51,C962)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SUMIFS(RAB!$F$14:$F$51,RAB!$C$14:$C$51,C963)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SUMIFS(RAB!$F$14:$F$51,RAB!$C$14:$C$51,C964)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SUMIFS(RAB!$F$14:$F$51,RAB!$C$14:$C$51,C965)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SUMIFS(RAB!$F$14:$F$51,RAB!$C$14:$C$51,C966)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SUMIFS(RAB!$F$14:$F$51,RAB!$C$14:$C$51,C967)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SUMIFS(RAB!$F$14:$F$51,RAB!$C$14:$C$51,C968)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SUMIFS(RAB!$F$14:$F$51,RAB!$C$14:$C$51,C969)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SUMIFS(RAB!$F$14:$F$51,RAB!$C$14:$C$51,C970)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SUMIFS(RAB!$F$14:$F$51,RAB!$C$14:$C$51,C971)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SUMIFS(RAB!$F$14:$F$51,RAB!$C$14:$C$51,C972)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SUMIFS(RAB!$F$14:$F$51,RAB!$C$14:$C$51,C973)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SUMIFS(RAB!$F$14:$F$51,RAB!$C$14:$C$51,C974)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SUMIFS(RAB!$F$14:$F$51,RAB!$C$14:$C$51,C975)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SUMIFS(RAB!$F$14:$F$51,RAB!$C$14:$C$51,C976)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SUMIFS(RAB!$F$14:$F$51,RAB!$C$14:$C$51,C977)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SUMIFS(RAB!$F$14:$F$51,RAB!$C$14:$C$51,C978)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SUMIFS(RAB!$F$14:$F$51,RAB!$C$14:$C$51,C979)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SUMIFS(RAB!$F$14:$F$51,RAB!$C$14:$C$51,C980)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SUMIFS(RAB!$F$14:$F$51,RAB!$C$14:$C$51,C981)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SUMIFS(RAB!$F$14:$F$51,RAB!$C$14:$C$51,C982)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SUMIFS(RAB!$F$14:$F$51,RAB!$C$14:$C$51,C983)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SUMIFS(RAB!$F$14:$F$51,RAB!$C$14:$C$51,C984)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SUMIFS(RAB!$F$14:$F$51,RAB!$C$14:$C$51,C985)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SUMIFS(RAB!$F$14:$F$51,RAB!$C$14:$C$51,C986)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SUMIFS(RAB!$F$14:$F$51,RAB!$C$14:$C$51,C987)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SUMIFS(RAB!$F$14:$F$51,RAB!$C$14:$C$51,C988)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SUMIFS(RAB!$F$14:$F$51,RAB!$C$14:$C$51,C989)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SUMIFS(RAB!$F$14:$F$51,RAB!$C$14:$C$51,C990)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SUMIFS(RAB!$F$14:$F$51,RAB!$C$14:$C$51,C991)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SUMIFS(RAB!$F$14:$F$51,RAB!$C$14:$C$51,C992)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SUMIFS(RAB!$F$14:$F$51,RAB!$C$14:$C$51,C993)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SUMIFS(RAB!$F$14:$F$51,RAB!$C$14:$C$51,C994)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SUMIFS(RAB!$F$14:$F$51,RAB!$C$14:$C$51,C995)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SUMIFS(RAB!$F$14:$F$51,RAB!$C$14:$C$51,C996)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SUMIFS(RAB!$F$14:$F$51,RAB!$C$14:$C$51,C997)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SUMIFS(RAB!$F$14:$F$51,RAB!$C$14:$C$51,C998)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SUMIFS(RAB!$F$14:$F$51,RAB!$C$14:$C$51,C999)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SUMIFS(RAB!$F$14:$F$51,RAB!$C$14:$C$51,C1000)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SUMIFS(RAB!$F$14:$F$51,RAB!$C$14:$C$51,C1001)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SUMIFS(RAB!$F$14:$F$51,RAB!$C$14:$C$51,C1002)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SUMIFS(RAB!$F$14:$F$51,RAB!$C$14:$C$51,C1003)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SUMIFS(RAB!$F$14:$F$51,RAB!$C$14:$C$51,C1004)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SUMIFS(RAB!$F$14:$F$51,RAB!$C$14:$C$51,C1005)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SUMIFS(RAB!$F$14:$F$51,RAB!$C$14:$C$51,C1006)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SUMIFS(RAB!$F$14:$F$51,RAB!$C$14:$C$51,C1007)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SUMIFS(RAB!$F$14:$F$51,RAB!$C$14:$C$51,C1008)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SUMIFS(RAB!$F$14:$F$51,RAB!$C$14:$C$51,C1009)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SUMIFS(RAB!$F$14:$F$51,RAB!$C$14:$C$51,C1010)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SUMIFS(RAB!$F$14:$F$51,RAB!$C$14:$C$51,C1011)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SUMIFS(RAB!$F$14:$F$51,RAB!$C$14:$C$51,C1012)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SUMIFS(RAB!$F$14:$F$51,RAB!$C$14:$C$51,C1013)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SUMIFS(RAB!$F$14:$F$51,RAB!$C$14:$C$51,C1014)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SUMIFS(RAB!$F$14:$F$51,RAB!$C$14:$C$51,C1015)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SUMIFS(RAB!$F$14:$F$51,RAB!$C$14:$C$51,C1016)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SUMIFS(RAB!$F$14:$F$51,RAB!$C$14:$C$51,C1017)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SUMIFS(RAB!$F$14:$F$51,RAB!$C$14:$C$51,C1018)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SUMIFS(RAB!$F$14:$F$51,RAB!$C$14:$C$51,C1019)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SUMIFS(RAB!$F$14:$F$51,RAB!$C$14:$C$51,C1020)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SUMIFS(RAB!$F$14:$F$51,RAB!$C$14:$C$51,C1021)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SUMIFS(RAB!$F$14:$F$51,RAB!$C$14:$C$51,C1022)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SUMIFS(RAB!$F$14:$F$51,RAB!$C$14:$C$51,C1023)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SUMIFS(RAB!$F$14:$F$51,RAB!$C$14:$C$51,C1024)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SUMIFS(RAB!$F$14:$F$51,RAB!$C$14:$C$51,C1025)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SUMIFS(RAB!$F$14:$F$51,RAB!$C$14:$C$51,C1026)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SUMIFS(RAB!$F$14:$F$51,RAB!$C$14:$C$51,C1027)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SUMIFS(RAB!$F$14:$F$51,RAB!$C$14:$C$51,C1028)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SUMIFS(RAB!$F$14:$F$51,RAB!$C$14:$C$51,C1029)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SUMIFS(RAB!$F$14:$F$51,RAB!$C$14:$C$51,C1030)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SUMIFS(RAB!$F$14:$F$51,RAB!$C$14:$C$51,C1031)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SUMIFS(RAB!$F$14:$F$51,RAB!$C$14:$C$51,C1032)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SUMIFS(RAB!$F$14:$F$51,RAB!$C$14:$C$51,C1033)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SUMIFS(RAB!$F$14:$F$51,RAB!$C$14:$C$51,C1034)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SUMIFS(RAB!$F$14:$F$51,RAB!$C$14:$C$51,C1035)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SUMIFS(RAB!$F$14:$F$51,RAB!$C$14:$C$51,C1036)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SUMIFS(RAB!$F$14:$F$51,RAB!$C$14:$C$51,C1037)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SUMIFS(RAB!$F$14:$F$51,RAB!$C$14:$C$51,C1038)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SUMIFS(RAB!$F$14:$F$51,RAB!$C$14:$C$51,C1039)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SUMIFS(RAB!$F$14:$F$51,RAB!$C$14:$C$51,C1040)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SUMIFS(RAB!$F$14:$F$51,RAB!$C$14:$C$51,C1041)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SUMIFS(RAB!$F$14:$F$51,RAB!$C$14:$C$51,C1042)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SUMIFS(RAB!$F$14:$F$51,RAB!$C$14:$C$51,C1043)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SUMIFS(RAB!$F$14:$F$51,RAB!$C$14:$C$51,C1044)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SUMIFS(RAB!$F$14:$F$51,RAB!$C$14:$C$51,C1045)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SUMIFS(RAB!$F$14:$F$51,RAB!$C$14:$C$51,C1046)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SUMIFS(RAB!$F$14:$F$51,RAB!$C$14:$C$51,C1047)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SUMIFS(RAB!$F$14:$F$51,RAB!$C$14:$C$51,C1048)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SUMIFS(RAB!$F$14:$F$51,RAB!$C$14:$C$51,C1049)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SUMIFS(RAB!$F$14:$F$51,RAB!$C$14:$C$51,C1050)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SUMIFS(RAB!$F$14:$F$51,RAB!$C$14:$C$51,C1051)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SUMIFS(RAB!$F$14:$F$51,RAB!$C$14:$C$51,C1052)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SUMIFS(RAB!$F$14:$F$51,RAB!$C$14:$C$51,C1053)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SUMIFS(RAB!$F$14:$F$51,RAB!$C$14:$C$51,C1054)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SUMIFS(RAB!$F$14:$F$51,RAB!$C$14:$C$51,C1055)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SUMIFS(RAB!$F$14:$F$51,RAB!$C$14:$C$51,C1056)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SUMIFS(RAB!$F$14:$F$51,RAB!$C$14:$C$51,C1057)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SUMIFS(RAB!$F$14:$F$51,RAB!$C$14:$C$51,C1058)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SUMIFS(RAB!$F$14:$F$51,RAB!$C$14:$C$51,C1059)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SUMIFS(RAB!$F$14:$F$51,RAB!$C$14:$C$51,C1060)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SUMIFS(RAB!$F$14:$F$51,RAB!$C$14:$C$51,C1061)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SUMIFS(RAB!$F$14:$F$51,RAB!$C$14:$C$51,C1062)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SUMIFS(RAB!$F$14:$F$51,RAB!$C$14:$C$51,C1063)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SUMIFS(RAB!$F$14:$F$51,RAB!$C$14:$C$51,C1064)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SUMIFS(RAB!$F$14:$F$51,RAB!$C$14:$C$51,C1065)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SUMIFS(RAB!$F$14:$F$51,RAB!$C$14:$C$51,C1066)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SUMIFS(RAB!$F$14:$F$51,RAB!$C$14:$C$51,C1067)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SUMIFS(RAB!$F$14:$F$51,RAB!$C$14:$C$51,C1068)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SUMIFS(RAB!$F$14:$F$51,RAB!$C$14:$C$51,C1069)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SUMIFS(RAB!$F$14:$F$51,RAB!$C$14:$C$51,C1070)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SUMIFS(RAB!$F$14:$F$51,RAB!$C$14:$C$51,C1071)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SUMIFS(RAB!$F$14:$F$51,RAB!$C$14:$C$51,C1072)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SUMIFS(RAB!$F$14:$F$51,RAB!$C$14:$C$51,C1073)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SUMIFS(RAB!$F$14:$F$51,RAB!$C$14:$C$51,C1074)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SUMIFS(RAB!$F$14:$F$51,RAB!$C$14:$C$51,C1075)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SUMIFS(RAB!$F$14:$F$51,RAB!$C$14:$C$51,C1076)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SUMIFS(RAB!$F$14:$F$51,RAB!$C$14:$C$51,C1077)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SUMIFS(RAB!$F$14:$F$51,RAB!$C$14:$C$51,C1078)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SUMIFS(RAB!$F$14:$F$51,RAB!$C$14:$C$51,C1079)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SUMIFS(RAB!$F$14:$F$51,RAB!$C$14:$C$51,C1080)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SUMIFS(RAB!$F$14:$F$51,RAB!$C$14:$C$51,C1081)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SUMIFS(RAB!$F$14:$F$51,RAB!$C$14:$C$51,C1082)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SUMIFS(RAB!$F$14:$F$51,RAB!$C$14:$C$51,C1083)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SUMIFS(RAB!$F$14:$F$51,RAB!$C$14:$C$51,C1084)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SUMIFS(RAB!$F$14:$F$51,RAB!$C$14:$C$51,C1085)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SUMIFS(RAB!$F$14:$F$51,RAB!$C$14:$C$51,C1086)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SUMIFS(RAB!$F$14:$F$51,RAB!$C$14:$C$51,C1087)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SUMIFS(RAB!$F$14:$F$51,RAB!$C$14:$C$51,C1088)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SUMIFS(RAB!$F$14:$F$51,RAB!$C$14:$C$51,C1089)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SUMIFS(RAB!$F$14:$F$51,RAB!$C$14:$C$51,C1090)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SUMIFS(RAB!$F$14:$F$51,RAB!$C$14:$C$51,C1091)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SUMIFS(RAB!$F$14:$F$51,RAB!$C$14:$C$51,C1092)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SUMIFS(RAB!$F$14:$F$51,RAB!$C$14:$C$51,C1093)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SUMIFS(RAB!$F$14:$F$51,RAB!$C$14:$C$51,C1094)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SUMIFS(RAB!$F$14:$F$51,RAB!$C$14:$C$51,C1095)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SUMIFS(RAB!$F$14:$F$51,RAB!$C$14:$C$51,C1096)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SUMIFS(RAB!$F$14:$F$51,RAB!$C$14:$C$51,C1097)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SUMIFS(RAB!$F$14:$F$51,RAB!$C$14:$C$51,C1098)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SUMIFS(RAB!$F$14:$F$51,RAB!$C$14:$C$51,C1099)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SUMIFS(RAB!$F$14:$F$51,RAB!$C$14:$C$51,C1100)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SUMIFS(RAB!$F$14:$F$51,RAB!$C$14:$C$51,C1101)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SUMIFS(RAB!$F$14:$F$51,RAB!$C$14:$C$51,C1102)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SUMIFS(RAB!$F$14:$F$51,RAB!$C$14:$C$51,C1103)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SUMIFS(RAB!$F$14:$F$51,RAB!$C$14:$C$51,C1104)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SUMIFS(RAB!$F$14:$F$51,RAB!$C$14:$C$51,C1105)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SUMIFS(RAB!$F$14:$F$51,RAB!$C$14:$C$51,C1106)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SUMIFS(RAB!$F$14:$F$51,RAB!$C$14:$C$51,C1107)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SUMIFS(RAB!$F$14:$F$51,RAB!$C$14:$C$51,C1108)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SUMIFS(RAB!$F$14:$F$51,RAB!$C$14:$C$51,C1109)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SUMIFS(RAB!$F$14:$F$51,RAB!$C$14:$C$51,C1110)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SUMIFS(RAB!$F$14:$F$51,RAB!$C$14:$C$51,C1111)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SUMIFS(RAB!$F$14:$F$51,RAB!$C$14:$C$51,C1112)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SUMIFS(RAB!$F$14:$F$51,RAB!$C$14:$C$51,C1113)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SUMIFS(RAB!$F$14:$F$51,RAB!$C$14:$C$51,C1114)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SUMIFS(RAB!$F$14:$F$51,RAB!$C$14:$C$51,C1115)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SUMIFS(RAB!$F$14:$F$51,RAB!$C$14:$C$51,C1116)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SUMIFS(RAB!$F$14:$F$51,RAB!$C$14:$C$51,C1117)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SUMIFS(RAB!$F$14:$F$51,RAB!$C$14:$C$51,C1118)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SUMIFS(RAB!$F$14:$F$51,RAB!$C$14:$C$51,C1119)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SUMIFS(RAB!$F$14:$F$51,RAB!$C$14:$C$51,C1120)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SUMIFS(RAB!$F$14:$F$51,RAB!$C$14:$C$51,C1121)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SUMIFS(RAB!$F$14:$F$51,RAB!$C$14:$C$51,C1122)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SUMIFS(RAB!$F$14:$F$51,RAB!$C$14:$C$51,C1123)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SUMIFS(RAB!$F$14:$F$51,RAB!$C$14:$C$51,C1124)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SUMIFS(RAB!$F$14:$F$51,RAB!$C$14:$C$51,C1125)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SUMIFS(RAB!$F$14:$F$51,RAB!$C$14:$C$51,C1126)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SUMIFS(RAB!$F$14:$F$51,RAB!$C$14:$C$51,C1127)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SUMIFS(RAB!$F$14:$F$51,RAB!$C$14:$C$51,C1128)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SUMIFS(RAB!$F$14:$F$51,RAB!$C$14:$C$51,C1129)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SUMIFS(RAB!$F$14:$F$51,RAB!$C$14:$C$51,C1130)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SUMIFS(RAB!$F$14:$F$51,RAB!$C$14:$C$51,C1131)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SUMIFS(RAB!$F$14:$F$51,RAB!$C$14:$C$51,C1132)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SUMIFS(RAB!$F$14:$F$51,RAB!$C$14:$C$51,C1133)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SUMIFS(RAB!$F$14:$F$51,RAB!$C$14:$C$51,C1134)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SUMIFS(RAB!$F$14:$F$51,RAB!$C$14:$C$51,C1135)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SUMIFS(RAB!$F$14:$F$51,RAB!$C$14:$C$51,C1136)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SUMIFS(RAB!$F$14:$F$51,RAB!$C$14:$C$51,C1137)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SUMIFS(RAB!$F$14:$F$51,RAB!$C$14:$C$51,C1138)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SUMIFS(RAB!$F$14:$F$51,RAB!$C$14:$C$51,C1139)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SUMIFS(RAB!$F$14:$F$51,RAB!$C$14:$C$51,C1140)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SUMIFS(RAB!$F$14:$F$51,RAB!$C$14:$C$51,C1141)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SUMIFS(RAB!$F$14:$F$51,RAB!$C$14:$C$51,C1142)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SUMIFS(RAB!$F$14:$F$51,RAB!$C$14:$C$51,C1143)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SUMIFS(RAB!$F$14:$F$51,RAB!$C$14:$C$51,C1144)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SUMIFS(RAB!$F$14:$F$51,RAB!$C$14:$C$51,C1145)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SUMIFS(RAB!$F$14:$F$51,RAB!$C$14:$C$51,C1146)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SUMIFS(RAB!$F$14:$F$51,RAB!$C$14:$C$51,C1147)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SUMIFS(RAB!$F$14:$F$51,RAB!$C$14:$C$51,C1148)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SUMIFS(RAB!$F$14:$F$51,RAB!$C$14:$C$51,C1149)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SUMIFS(RAB!$F$14:$F$51,RAB!$C$14:$C$51,C1150)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SUMIFS(RAB!$F$14:$F$51,RAB!$C$14:$C$51,C1151)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SUMIFS(RAB!$F$14:$F$51,RAB!$C$14:$C$51,C1152)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SUMIFS(RAB!$F$14:$F$51,RAB!$C$14:$C$51,C1153)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SUMIFS(RAB!$F$14:$F$51,RAB!$C$14:$C$51,C1154)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SUMIFS(RAB!$F$14:$F$51,RAB!$C$14:$C$51,C1155)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SUMIFS(RAB!$F$14:$F$51,RAB!$C$14:$C$51,C1156)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SUMIFS(RAB!$F$14:$F$51,RAB!$C$14:$C$51,C1157)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SUMIFS(RAB!$F$14:$F$51,RAB!$C$14:$C$51,C1158)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SUMIFS(RAB!$F$14:$F$51,RAB!$C$14:$C$51,C1159)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SUMIFS(RAB!$F$14:$F$51,RAB!$C$14:$C$51,C1160)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SUMIFS(RAB!$F$14:$F$51,RAB!$C$14:$C$51,C1161)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SUMIFS(RAB!$F$14:$F$51,RAB!$C$14:$C$51,C1162)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SUMIFS(RAB!$F$14:$F$51,RAB!$C$14:$C$51,C1163)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SUMIFS(RAB!$F$14:$F$51,RAB!$C$14:$C$51,C1164)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SUMIFS(RAB!$F$14:$F$51,RAB!$C$14:$C$51,C1165)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SUMIFS(RAB!$F$14:$F$51,RAB!$C$14:$C$51,C1166)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SUMIFS(RAB!$F$14:$F$51,RAB!$C$14:$C$51,C1167)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SUMIFS(RAB!$F$14:$F$51,RAB!$C$14:$C$51,C1168)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SUMIFS(RAB!$F$14:$F$51,RAB!$C$14:$C$51,C1169)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SUMIFS(RAB!$F$14:$F$51,RAB!$C$14:$C$51,C1170)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SUMIFS(RAB!$F$14:$F$51,RAB!$C$14:$C$51,C1171)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SUMIFS(RAB!$F$14:$F$51,RAB!$C$14:$C$51,C1172)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SUMIFS(RAB!$F$14:$F$51,RAB!$C$14:$C$51,C1173)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SUMIFS(RAB!$F$14:$F$51,RAB!$C$14:$C$51,C1174)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SUMIFS(RAB!$F$14:$F$51,RAB!$C$14:$C$51,C1175)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SUMIFS(RAB!$F$14:$F$51,RAB!$C$14:$C$51,C1176)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SUMIFS(RAB!$F$14:$F$51,RAB!$C$14:$C$51,C1177)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SUMIFS(RAB!$F$14:$F$51,RAB!$C$14:$C$51,C1178)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SUMIFS(RAB!$F$14:$F$51,RAB!$C$14:$C$51,C1179)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SUMIFS(RAB!$F$14:$F$51,RAB!$C$14:$C$51,C1180)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SUMIFS(RAB!$F$14:$F$51,RAB!$C$14:$C$51,C1181)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SUMIFS(RAB!$F$14:$F$51,RAB!$C$14:$C$51,C1182)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SUMIFS(RAB!$F$14:$F$51,RAB!$C$14:$C$51,C1183)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SUMIFS(RAB!$F$14:$F$51,RAB!$C$14:$C$51,C1184)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SUMIFS(RAB!$F$14:$F$51,RAB!$C$14:$C$51,C1185)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SUMIFS(RAB!$F$14:$F$51,RAB!$C$14:$C$51,C1186)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SUMIFS(RAB!$F$14:$F$51,RAB!$C$14:$C$51,C1187)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SUMIFS(RAB!$F$14:$F$51,RAB!$C$14:$C$51,C1188)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SUMIFS(RAB!$F$14:$F$51,RAB!$C$14:$C$51,C1189)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SUMIFS(RAB!$F$14:$F$51,RAB!$C$14:$C$51,C1190)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SUMIFS(RAB!$F$14:$F$51,RAB!$C$14:$C$51,C1191)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SUMIFS(RAB!$F$14:$F$51,RAB!$C$14:$C$51,C1192)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SUMIFS(RAB!$F$14:$F$51,RAB!$C$14:$C$51,C1193)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SUMIFS(RAB!$F$14:$F$51,RAB!$C$14:$C$51,C1194)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SUMIFS(RAB!$F$14:$F$51,RAB!$C$14:$C$51,C1195)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SUMIFS(RAB!$F$14:$F$51,RAB!$C$14:$C$51,C1196)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SUMIFS(RAB!$F$14:$F$51,RAB!$C$14:$C$51,C1197)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SUMIFS(RAB!$F$14:$F$51,RAB!$C$14:$C$51,C1198)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SUMIFS(RAB!$F$14:$F$51,RAB!$C$14:$C$51,C1199)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SUMIFS(RAB!$F$14:$F$51,RAB!$C$14:$C$51,C1200)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SUMIFS(RAB!$F$14:$F$51,RAB!$C$14:$C$51,C1201)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SUMIFS(RAB!$F$14:$F$51,RAB!$C$14:$C$51,C1202)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SUMIFS(RAB!$F$14:$F$51,RAB!$C$14:$C$51,C1203)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SUMIFS(RAB!$F$14:$F$51,RAB!$C$14:$C$51,C1204)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SUMIFS(RAB!$F$14:$F$51,RAB!$C$14:$C$51,C1205)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SUMIFS(RAB!$F$14:$F$51,RAB!$C$14:$C$51,C1206)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SUMIFS(RAB!$F$14:$F$51,RAB!$C$14:$C$51,C1207)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SUMIFS(RAB!$F$14:$F$51,RAB!$C$14:$C$51,C1208)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SUMIFS(RAB!$F$14:$F$51,RAB!$C$14:$C$51,C1209)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SUMIFS(RAB!$F$14:$F$51,RAB!$C$14:$C$51,C1210)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SUMIFS(RAB!$F$14:$F$51,RAB!$C$14:$C$51,C1211)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SUMIFS(RAB!$F$14:$F$51,RAB!$C$14:$C$51,C1212)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SUMIFS(RAB!$F$14:$F$51,RAB!$C$14:$C$51,C1213)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SUMIFS(RAB!$F$14:$F$51,RAB!$C$14:$C$51,C1214)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SUMIFS(RAB!$F$14:$F$51,RAB!$C$14:$C$51,C1215)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SUMIFS(RAB!$F$14:$F$51,RAB!$C$14:$C$51,C1216)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SUMIFS(RAB!$F$14:$F$51,RAB!$C$14:$C$51,C1217)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SUMIFS(RAB!$F$14:$F$51,RAB!$C$14:$C$51,C1218)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SUMIFS(RAB!$F$14:$F$51,RAB!$C$14:$C$51,C1219)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SUMIFS(RAB!$F$14:$F$51,RAB!$C$14:$C$51,C1220)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SUMIFS(RAB!$F$14:$F$51,RAB!$C$14:$C$51,C1221)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SUMIFS(RAB!$F$14:$F$51,RAB!$C$14:$C$51,C1222)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SUMIFS(RAB!$F$14:$F$51,RAB!$C$14:$C$51,C1223)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SUMIFS(RAB!$F$14:$F$51,RAB!$C$14:$C$51,C1224)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SUMIFS(RAB!$F$14:$F$51,RAB!$C$14:$C$51,C1225)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SUMIFS(RAB!$F$14:$F$51,RAB!$C$14:$C$51,C1226)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SUMIFS(RAB!$F$14:$F$51,RAB!$C$14:$C$51,C1227)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SUMIFS(RAB!$F$14:$F$51,RAB!$C$14:$C$51,C1228)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SUMIFS(RAB!$F$14:$F$51,RAB!$C$14:$C$51,C1229)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SUMIFS(RAB!$F$14:$F$51,RAB!$C$14:$C$51,C1230)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SUMIFS(RAB!$F$14:$F$51,RAB!$C$14:$C$51,C1231)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SUMIFS(RAB!$F$14:$F$51,RAB!$C$14:$C$51,C1232)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SUMIFS(RAB!$F$14:$F$51,RAB!$C$14:$C$51,C1233)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SUMIFS(RAB!$F$14:$F$51,RAB!$C$14:$C$51,C1234)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SUMIFS(RAB!$F$14:$F$51,RAB!$C$14:$C$51,C1235)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SUMIFS(RAB!$F$14:$F$51,RAB!$C$14:$C$51,C1236)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SUMIFS(RAB!$F$14:$F$51,RAB!$C$14:$C$51,C1237)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SUMIFS(RAB!$F$14:$F$51,RAB!$C$14:$C$51,C1238)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SUMIFS(RAB!$F$14:$F$51,RAB!$C$14:$C$51,C1239)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SUMIFS(RAB!$F$14:$F$51,RAB!$C$14:$C$51,C1240)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SUMIFS(RAB!$F$14:$F$51,RAB!$C$14:$C$51,C1241)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SUMIFS(RAB!$F$14:$F$51,RAB!$C$14:$C$51,C1242)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SUMIFS(RAB!$F$14:$F$51,RAB!$C$14:$C$51,C1243)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SUMIFS(RAB!$F$14:$F$51,RAB!$C$14:$C$51,C1244)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SUMIFS(RAB!$F$14:$F$51,RAB!$C$14:$C$51,C1245)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SUMIFS(RAB!$F$14:$F$51,RAB!$C$14:$C$51,C1246)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SUMIFS(RAB!$F$14:$F$51,RAB!$C$14:$C$51,C1247)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SUMIFS(RAB!$F$14:$F$51,RAB!$C$14:$C$51,C1248)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SUMIFS(RAB!$F$14:$F$51,RAB!$C$14:$C$51,C1249)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SUMIFS(RAB!$F$14:$F$51,RAB!$C$14:$C$51,C1250)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SUMIFS(RAB!$F$14:$F$51,RAB!$C$14:$C$51,C1251)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SUMIFS(RAB!$F$14:$F$51,RAB!$C$14:$C$51,C1252)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SUMIFS(RAB!$F$14:$F$51,RAB!$C$14:$C$51,C1253)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SUMIFS(RAB!$F$14:$F$51,RAB!$C$14:$C$51,C1254)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SUMIFS(RAB!$F$14:$F$51,RAB!$C$14:$C$51,C1255)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SUMIFS(RAB!$F$14:$F$51,RAB!$C$14:$C$51,C1256)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SUMIFS(RAB!$F$14:$F$51,RAB!$C$14:$C$51,C1257)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SUMIFS(RAB!$F$14:$F$51,RAB!$C$14:$C$51,C1258)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SUMIFS(RAB!$F$14:$F$51,RAB!$C$14:$C$51,C1259)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SUMIFS(RAB!$F$14:$F$51,RAB!$C$14:$C$51,C1260)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SUMIFS(RAB!$F$14:$F$51,RAB!$C$14:$C$51,C1261)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SUMIFS(RAB!$F$14:$F$51,RAB!$C$14:$C$51,C1262)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SUMIFS(RAB!$F$14:$F$51,RAB!$C$14:$C$51,C1263)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SUMIFS(RAB!$F$14:$F$51,RAB!$C$14:$C$51,C1264)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SUMIFS(RAB!$F$14:$F$51,RAB!$C$14:$C$51,C1265)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SUMIFS(RAB!$F$14:$F$51,RAB!$C$14:$C$51,C1266)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SUMIFS(RAB!$F$14:$F$51,RAB!$C$14:$C$51,C1267)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SUMIFS(RAB!$F$14:$F$51,RAB!$C$14:$C$51,C1268)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SUMIFS(RAB!$F$14:$F$51,RAB!$C$14:$C$51,C1269)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SUMIFS(RAB!$F$14:$F$51,RAB!$C$14:$C$51,C1270)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SUMIFS(RAB!$F$14:$F$51,RAB!$C$14:$C$51,C1271)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SUMIFS(RAB!$F$14:$F$51,RAB!$C$14:$C$51,C1272)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SUMIFS(RAB!$F$14:$F$51,RAB!$C$14:$C$51,C1273)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SUMIFS(RAB!$F$14:$F$51,RAB!$C$14:$C$51,C1274)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SUMIFS(RAB!$F$14:$F$51,RAB!$C$14:$C$51,C1275)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SUMIFS(RAB!$F$14:$F$51,RAB!$C$14:$C$51,C1276)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SUMIFS(RAB!$F$14:$F$51,RAB!$C$14:$C$51,C1277)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SUMIFS(RAB!$F$14:$F$51,RAB!$C$14:$C$51,C1278)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SUMIFS(RAB!$F$14:$F$51,RAB!$C$14:$C$51,C1279)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SUMIFS(RAB!$F$14:$F$51,RAB!$C$14:$C$51,C1280)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SUMIFS(RAB!$F$14:$F$51,RAB!$C$14:$C$51,C1281)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SUMIFS(RAB!$F$14:$F$51,RAB!$C$14:$C$51,C1282)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SUMIFS(RAB!$F$14:$F$51,RAB!$C$14:$C$51,C1283)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SUMIFS(RAB!$F$14:$F$51,RAB!$C$14:$C$51,C1284)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SUMIFS(RAB!$F$14:$F$51,RAB!$C$14:$C$51,C1285)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SUMIFS(RAB!$F$14:$F$51,RAB!$C$14:$C$51,C1286)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SUMIFS(RAB!$F$14:$F$51,RAB!$C$14:$C$51,C1287)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SUMIFS(RAB!$F$14:$F$51,RAB!$C$14:$C$51,C1288)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SUMIFS(RAB!$F$14:$F$51,RAB!$C$14:$C$51,C1289)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SUMIFS(RAB!$F$14:$F$51,RAB!$C$14:$C$51,C1290)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SUMIFS(RAB!$F$14:$F$51,RAB!$C$14:$C$51,C1291)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SUMIFS(RAB!$F$14:$F$51,RAB!$C$14:$C$51,C1292)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SUMIFS(RAB!$F$14:$F$51,RAB!$C$14:$C$51,C1293)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SUMIFS(RAB!$F$14:$F$51,RAB!$C$14:$C$51,C1294)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SUMIFS(RAB!$F$14:$F$51,RAB!$C$14:$C$51,C1295)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SUMIFS(RAB!$F$14:$F$51,RAB!$C$14:$C$51,C1296)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SUMIFS(RAB!$F$14:$F$51,RAB!$C$14:$C$51,C1297)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SUMIFS(RAB!$F$14:$F$51,RAB!$C$14:$C$51,C1298)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SUMIFS(RAB!$F$14:$F$51,RAB!$C$14:$C$51,C1299)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SUMIFS(RAB!$F$14:$F$51,RAB!$C$14:$C$51,C1300)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SUMIFS(RAB!$F$14:$F$51,RAB!$C$14:$C$51,C1301)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SUMIFS(RAB!$F$14:$F$51,RAB!$C$14:$C$51,C1302)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SUMIFS(RAB!$F$14:$F$51,RAB!$C$14:$C$51,C1303)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SUMIFS(RAB!$F$14:$F$51,RAB!$C$14:$C$51,C1304)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SUMIFS(RAB!$F$14:$F$51,RAB!$C$14:$C$51,C1305)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SUMIFS(RAB!$F$14:$F$51,RAB!$C$14:$C$51,C1306)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SUMIFS(RAB!$F$14:$F$51,RAB!$C$14:$C$51,C1307)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SUMIFS(RAB!$F$14:$F$51,RAB!$C$14:$C$51,C1308)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SUMIFS(RAB!$F$14:$F$51,RAB!$C$14:$C$51,C1309)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SUMIFS(RAB!$F$14:$F$51,RAB!$C$14:$C$51,C1310)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SUMIFS(RAB!$F$14:$F$51,RAB!$C$14:$C$51,C1311)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SUMIFS(RAB!$F$14:$F$51,RAB!$C$14:$C$51,C1312)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SUMIFS(RAB!$F$14:$F$51,RAB!$C$14:$C$51,C1313)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SUMIFS(RAB!$F$14:$F$51,RAB!$C$14:$C$51,C1314)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SUMIFS(RAB!$F$14:$F$51,RAB!$C$14:$C$51,C1315)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SUMIFS(RAB!$F$14:$F$51,RAB!$C$14:$C$51,C1316)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SUMIFS(RAB!$F$14:$F$51,RAB!$C$14:$C$51,C1317)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SUMIFS(RAB!$F$14:$F$51,RAB!$C$14:$C$51,C1318)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SUMIFS(RAB!$F$14:$F$51,RAB!$C$14:$C$51,C1319)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SUMIFS(RAB!$F$14:$F$51,RAB!$C$14:$C$51,C1320)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4" priority="5" operator="equal">
      <formula>0</formula>
    </cfRule>
  </conditionalFormatting>
  <conditionalFormatting sqref="A10:L65536">
    <cfRule type="cellIs" dxfId="53" priority="1" operator="equal">
      <formula>0</formula>
    </cfRule>
  </conditionalFormatting>
  <conditionalFormatting sqref="C12:C711">
    <cfRule type="cellIs" dxfId="52" priority="66" stopIfTrue="1" operator="equal">
      <formula>0</formula>
    </cfRule>
  </conditionalFormatting>
  <conditionalFormatting sqref="E712:E65536">
    <cfRule type="cellIs" dxfId="51" priority="16" stopIfTrue="1" operator="equal">
      <formula>0</formula>
    </cfRule>
  </conditionalFormatting>
  <conditionalFormatting sqref="G1:G11 E6:E11 E1:E3 H7 H10:H11 F10:F711 G712:G65536">
    <cfRule type="cellIs" dxfId="50" priority="69" stopIfTrue="1" operator="equal">
      <formula>0</formula>
    </cfRule>
  </conditionalFormatting>
  <conditionalFormatting sqref="G12:H711">
    <cfRule type="cellIs" dxfId="49" priority="12" stopIfTrue="1" operator="equal">
      <formula>0</formula>
    </cfRule>
  </conditionalFormatting>
  <conditionalFormatting sqref="I7:K7">
    <cfRule type="cellIs" dxfId="48" priority="4" stopIfTrue="1" operator="equal">
      <formula>0</formula>
    </cfRule>
  </conditionalFormatting>
  <conditionalFormatting sqref="I10:L711">
    <cfRule type="cellIs" dxfId="47" priority="2" stopIfTrue="1" operator="equal">
      <formula>0</formula>
    </cfRule>
  </conditionalFormatting>
  <conditionalFormatting sqref="L1:L6">
    <cfRule type="cellIs" dxfId="46" priority="10" operator="equal">
      <formula>0</formula>
    </cfRule>
  </conditionalFormatting>
  <conditionalFormatting sqref="M1:IV1048576 A8:G9">
    <cfRule type="cellIs" dxfId="45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86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1127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8" t="str">
        <f>RAB!G6</f>
        <v>TSEL IBS PLOSOREJO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DN PENJALINAN 1/7 DS PLOSOREJO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2" t="s">
        <v>41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46</v>
      </c>
      <c r="I12" s="543" t="s">
        <v>5</v>
      </c>
      <c r="J12" s="541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9" t="s">
        <v>1008</v>
      </c>
      <c r="D38" s="539"/>
      <c r="E38" s="539"/>
      <c r="F38" s="539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0" t="s">
        <v>462</v>
      </c>
      <c r="D39" s="540"/>
      <c r="E39" s="540"/>
      <c r="F39" s="540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9" t="s">
        <v>463</v>
      </c>
      <c r="D40" s="529"/>
      <c r="E40" s="529"/>
      <c r="F40" s="529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2" t="e">
        <f ca="1">"Terbilang : ( "&amp;L42&amp;" Rupiah )"</f>
        <v>#NAME?</v>
      </c>
      <c r="C41" s="533"/>
      <c r="D41" s="533"/>
      <c r="E41" s="533"/>
      <c r="F41" s="533"/>
      <c r="G41" s="533"/>
      <c r="H41" s="533"/>
      <c r="I41" s="533"/>
      <c r="J41" s="533"/>
      <c r="K41" s="534"/>
      <c r="L41" s="44"/>
      <c r="R41" s="58"/>
      <c r="S41" s="58"/>
      <c r="T41" s="58"/>
    </row>
    <row r="42" spans="1:20" s="36" customFormat="1">
      <c r="A42" s="30"/>
      <c r="B42" s="535"/>
      <c r="C42" s="536"/>
      <c r="D42" s="536"/>
      <c r="E42" s="536"/>
      <c r="F42" s="536"/>
      <c r="G42" s="536"/>
      <c r="H42" s="536"/>
      <c r="I42" s="536"/>
      <c r="J42" s="536"/>
      <c r="K42" s="537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0"/>
      <c r="I45" s="530"/>
      <c r="J45" s="531"/>
      <c r="K45" s="53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0"/>
      <c r="I46" s="530"/>
      <c r="J46" s="531"/>
      <c r="K46" s="53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0"/>
      <c r="I47" s="530"/>
      <c r="J47" s="531"/>
      <c r="K47" s="53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0"/>
      <c r="I52" s="530"/>
      <c r="J52" s="531"/>
      <c r="K52" s="53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SUMIFS(RAB!$F$14:$F$51,RAB!$C$14:$C$51,'REKAP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SUMIFS(RAB!$F$14:$F$51,RAB!$C$14:$C$51,'REKAP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SUMIFS(RAB!$F$14:$F$51,RAB!$C$14:$C$51,'REKAP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SUMIFS(RAB!$F$14:$F$51,RAB!$C$14:$C$51,'REKAP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SUMIFS(RAB!$F$14:$F$51,RAB!$C$14:$C$51,'REKAP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SUMIFS(RAB!$F$14:$F$51,RAB!$C$14:$C$51,'REKAP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SUMIFS(RAB!$F$14:$F$51,RAB!$C$14:$C$51,'REKAP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SUMIFS(RAB!$F$14:$F$51,RAB!$C$14:$C$51,'REKAP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SUMIFS(RAB!$F$14:$F$51,RAB!$C$14:$C$51,'REKAP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SUMIFS(RAB!$F$14:$F$51,RAB!$C$14:$C$51,'REKAP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SUMIFS(RAB!$F$14:$F$51,RAB!$C$14:$C$51,'REKAP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SUMIFS(RAB!$F$14:$F$51,RAB!$C$14:$C$51,'REKAP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SUMIFS(RAB!$F$14:$F$51,RAB!$C$14:$C$51,'REKAP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SUMIFS(RAB!$F$14:$F$51,RAB!$C$14:$C$51,'REKAP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SUMIFS(RAB!$F$14:$F$51,RAB!$C$14:$C$51,'REKAP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SUMIFS(RAB!$F$14:$F$51,RAB!$C$14:$C$51,'REKAP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SUMIFS(RAB!$F$14:$F$51,RAB!$C$14:$C$51,'REKAP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SUMIFS(RAB!$F$14:$F$51,RAB!$C$14:$C$51,'REKAP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SUMIFS(RAB!$F$14:$F$51,RAB!$C$14:$C$51,'REKAP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SUMIFS(RAB!$F$14:$F$51,RAB!$C$14:$C$51,'REKAP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1034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8" t="str">
        <f>RAB!G6</f>
        <v>TSEL IBS PLOSOREJO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DN PENJALINAN 1/7 DS PLOSOREJO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2" t="s">
        <v>41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46</v>
      </c>
      <c r="I12" s="543" t="s">
        <v>5</v>
      </c>
      <c r="J12" s="541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2</v>
      </c>
      <c r="G19" s="41">
        <f ca="1">IF(ISERROR(OFFSET('HARGA SATUAN'!$I$6,MATCH(C19,'HARGA SATUAN'!$C$7:$C$1492,0),0)),"",OFFSET('HARGA SATUAN'!$I$6,MATCH(C19,'HARGA SATUAN'!$C$7:$C$1492,0),0))</f>
        <v>14200</v>
      </c>
      <c r="H19" s="42">
        <f t="shared" ca="1" si="1"/>
        <v>28400</v>
      </c>
      <c r="I19" s="42">
        <f t="shared" ca="1" si="2"/>
        <v>0</v>
      </c>
      <c r="J19" s="42">
        <f t="shared" ca="1" si="3"/>
        <v>0</v>
      </c>
      <c r="K19" s="43">
        <f t="shared" ca="1" si="0"/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 2 x 16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35</v>
      </c>
      <c r="G20" s="41">
        <f ca="1">IF(ISERROR(OFFSET('HARGA SATUAN'!$I$6,MATCH(C20,'HARGA SATUAN'!$C$7:$C$1492,0),0)),"",OFFSET('HARGA SATUAN'!$I$6,MATCH(C20,'HARGA SATUAN'!$C$7:$C$1492,0),0))</f>
        <v>6600</v>
      </c>
      <c r="H20" s="42">
        <f t="shared" ca="1" si="1"/>
        <v>231000</v>
      </c>
      <c r="I20" s="42">
        <f t="shared" ca="1" si="2"/>
        <v>0</v>
      </c>
      <c r="J20" s="42">
        <f t="shared" ca="1" si="3"/>
        <v>0</v>
      </c>
      <c r="K20" s="43">
        <f t="shared" ca="1" si="0"/>
        <v>231000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9" t="s">
        <v>1008</v>
      </c>
      <c r="D168" s="539"/>
      <c r="E168" s="539"/>
      <c r="F168" s="539"/>
      <c r="G168" s="77" t="s">
        <v>9</v>
      </c>
      <c r="H168" s="55">
        <f ca="1">SUM(H14:H167)</f>
        <v>29884550</v>
      </c>
      <c r="I168" s="55">
        <f ca="1">SUM(I14:I167)</f>
        <v>0</v>
      </c>
      <c r="J168" s="55">
        <f ca="1">SUM(J14:J167)</f>
        <v>0</v>
      </c>
      <c r="K168" s="55">
        <f ca="1">SUM(K14:K167)</f>
        <v>29884550</v>
      </c>
      <c r="L168" s="44"/>
      <c r="R168" s="99"/>
      <c r="S168" s="99"/>
      <c r="T168" s="99"/>
    </row>
    <row r="169" spans="1:20" s="36" customFormat="1">
      <c r="A169" s="30"/>
      <c r="B169" s="56"/>
      <c r="C169" s="540" t="s">
        <v>462</v>
      </c>
      <c r="D169" s="540"/>
      <c r="E169" s="540"/>
      <c r="F169" s="540"/>
      <c r="G169" s="59" t="s">
        <v>9</v>
      </c>
      <c r="H169" s="60">
        <f ca="1">H168*0.1</f>
        <v>2988455</v>
      </c>
      <c r="I169" s="60">
        <f ca="1">I168*0.1</f>
        <v>0</v>
      </c>
      <c r="J169" s="60">
        <f ca="1">J168*0.1</f>
        <v>0</v>
      </c>
      <c r="K169" s="60">
        <f ca="1">K168*0.1</f>
        <v>2988455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9" t="s">
        <v>463</v>
      </c>
      <c r="D170" s="529"/>
      <c r="E170" s="529"/>
      <c r="F170" s="529"/>
      <c r="G170" s="61" t="s">
        <v>9</v>
      </c>
      <c r="H170" s="78">
        <f ca="1">SUM(H168:H169)</f>
        <v>32873005</v>
      </c>
      <c r="I170" s="78">
        <f ca="1">SUM(I168:I169)</f>
        <v>0</v>
      </c>
      <c r="J170" s="61">
        <f ca="1">SUM(J168:J169)</f>
        <v>0</v>
      </c>
      <c r="K170" s="61">
        <f ca="1">SUM(K168:K169)</f>
        <v>32873005</v>
      </c>
      <c r="L170" s="44"/>
      <c r="R170" s="99"/>
      <c r="S170" s="99"/>
      <c r="T170" s="99"/>
    </row>
    <row r="171" spans="1:20" s="36" customFormat="1">
      <c r="A171" s="30"/>
      <c r="B171" s="532" t="e">
        <f ca="1">"Terbilang : ( "&amp;L172&amp;" Rupiah )"</f>
        <v>#NAME?</v>
      </c>
      <c r="C171" s="533"/>
      <c r="D171" s="533"/>
      <c r="E171" s="533"/>
      <c r="F171" s="533"/>
      <c r="G171" s="533"/>
      <c r="H171" s="533"/>
      <c r="I171" s="533"/>
      <c r="J171" s="533"/>
      <c r="K171" s="534"/>
      <c r="L171" s="44"/>
      <c r="R171" s="58"/>
      <c r="S171" s="58"/>
      <c r="T171" s="58"/>
    </row>
    <row r="172" spans="1:20" s="36" customFormat="1">
      <c r="A172" s="30"/>
      <c r="B172" s="535"/>
      <c r="C172" s="536"/>
      <c r="D172" s="536"/>
      <c r="E172" s="536"/>
      <c r="F172" s="536"/>
      <c r="G172" s="536"/>
      <c r="H172" s="536"/>
      <c r="I172" s="536"/>
      <c r="J172" s="536"/>
      <c r="K172" s="537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0"/>
      <c r="I175" s="530"/>
      <c r="J175" s="531"/>
      <c r="K175" s="53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0"/>
      <c r="I176" s="530"/>
      <c r="J176" s="531"/>
      <c r="K176" s="53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0"/>
      <c r="I177" s="530"/>
      <c r="J177" s="531"/>
      <c r="K177" s="53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0"/>
      <c r="I182" s="530"/>
      <c r="J182" s="531"/>
      <c r="K182" s="53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SUMIFS(RAB!$F$14:$F$51,RAB!$C$14:$C$51,C224)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SUMIFS(RAB!$F$14:$F$51,RAB!$C$14:$C$51,C225)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SUMIFS(RAB!$F$14:$F$51,RAB!$C$14:$C$51,C226)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SUMIFS(RAB!$F$14:$F$51,RAB!$C$14:$C$51,C227)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SUMIFS(RAB!$F$14:$F$51,RAB!$C$14:$C$51,C228)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SUMIFS(RAB!$F$14:$F$51,RAB!$C$14:$C$51,C229)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SUMIFS(RAB!$F$14:$F$51,RAB!$C$14:$C$51,C230)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SUMIFS(RAB!$F$14:$F$51,RAB!$C$14:$C$51,C231)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SUMIFS(RAB!$F$14:$F$51,RAB!$C$14:$C$51,C232)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SUMIFS(RAB!$F$14:$F$51,RAB!$C$14:$C$51,C233)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SUMIFS(RAB!$F$14:$F$51,RAB!$C$14:$C$51,C234)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SUMIFS(RAB!$F$14:$F$51,RAB!$C$14:$C$51,C235)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SUMIFS(RAB!$F$14:$F$51,RAB!$C$14:$C$51,C236)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SUMIFS(RAB!$F$14:$F$51,RAB!$C$14:$C$51,C237)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SUMIFS(RAB!$F$14:$F$51,RAB!$C$14:$C$51,C238)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SUMIFS(RAB!$F$14:$F$51,RAB!$C$14:$C$51,C239)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SUMIFS(RAB!$F$14:$F$51,RAB!$C$14:$C$51,C240)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SUMIFS(RAB!$F$14:$F$51,RAB!$C$14:$C$51,C241)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SUMIFS(RAB!$F$14:$F$51,RAB!$C$14:$C$51,C242)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SUMIFS(RAB!$F$14:$F$51,RAB!$C$14:$C$51,C243)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SUMIFS(RAB!$F$14:$F$51,RAB!$C$14:$C$51,C244)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SUMIFS(RAB!$F$14:$F$51,RAB!$C$14:$C$51,C245)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SUMIFS(RAB!$F$14:$F$51,RAB!$C$14:$C$51,C246)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SUMIFS(RAB!$F$14:$F$51,RAB!$C$14:$C$51,C247)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SUMIFS(RAB!$F$14:$F$51,RAB!$C$14:$C$51,C248)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SUMIFS(RAB!$F$14:$F$51,RAB!$C$14:$C$51,C249)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SUMIFS(RAB!$F$14:$F$51,RAB!$C$14:$C$51,C250)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SUMIFS(RAB!$F$14:$F$51,RAB!$C$14:$C$51,C251)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SUMIFS(RAB!$F$14:$F$51,RAB!$C$14:$C$51,C252)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SUMIFS(RAB!$F$14:$F$51,RAB!$C$14:$C$51,C253)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SUMIFS(RAB!$F$14:$F$51,RAB!$C$14:$C$51,C254)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SUMIFS(RAB!$F$14:$F$51,RAB!$C$14:$C$51,C255)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SUMIFS(RAB!$F$14:$F$51,RAB!$C$14:$C$51,C256)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SUMIFS(RAB!$F$14:$F$51,RAB!$C$14:$C$51,C257)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SUMIFS(RAB!$F$14:$F$51,RAB!$C$14:$C$51,C258)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SUMIFS(RAB!$F$14:$F$51,RAB!$C$14:$C$51,C259)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SUMIFS(RAB!$F$14:$F$51,RAB!$C$14:$C$51,C260)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SUMIFS(RAB!$F$14:$F$51,RAB!$C$14:$C$51,C261)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SUMIFS(RAB!$F$14:$F$51,RAB!$C$14:$C$51,C262)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SUMIFS(RAB!$F$14:$F$51,RAB!$C$14:$C$51,C263)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SUMIFS(RAB!$F$14:$F$51,RAB!$C$14:$C$51,C264)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SUMIFS(RAB!$F$14:$F$51,RAB!$C$14:$C$51,C265)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SUMIFS(RAB!$F$14:$F$51,RAB!$C$14:$C$51,C266)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SUMIFS(RAB!$F$14:$F$51,RAB!$C$14:$C$51,C267)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SUMIFS(RAB!$F$14:$F$51,RAB!$C$14:$C$51,C268)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SUMIFS(RAB!$F$14:$F$51,RAB!$C$14:$C$51,C269)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SUMIFS(RAB!$F$14:$F$51,RAB!$C$14:$C$51,C270)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SUMIFS(RAB!$F$14:$F$51,RAB!$C$14:$C$51,C271)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SUMIFS(RAB!$F$14:$F$51,RAB!$C$14:$C$51,C272)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SUMIFS(RAB!$F$14:$F$51,RAB!$C$14:$C$51,C273)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SUMIFS(RAB!$F$14:$F$51,RAB!$C$14:$C$51,C274)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SUMIFS(RAB!$F$14:$F$51,RAB!$C$14:$C$51,C275)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SUMIFS(RAB!$F$14:$F$51,RAB!$C$14:$C$51,C276)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SUMIFS(RAB!$F$14:$F$51,RAB!$C$14:$C$51,C277)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SUMIFS(RAB!$F$14:$F$51,RAB!$C$14:$C$51,C278)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SUMIFS(RAB!$F$14:$F$51,RAB!$C$14:$C$51,C279)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SUMIFS(RAB!$F$14:$F$51,RAB!$C$14:$C$51,C280)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SUMIFS(RAB!$F$14:$F$51,RAB!$C$14:$C$51,C281)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SUMIFS(RAB!$F$14:$F$51,RAB!$C$14:$C$51,C282)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SUMIFS(RAB!$F$14:$F$51,RAB!$C$14:$C$51,C283)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SUMIFS(RAB!$F$14:$F$51,RAB!$C$14:$C$51,C284)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SUMIFS(RAB!$F$14:$F$51,RAB!$C$14:$C$51,C285)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SUMIFS(RAB!$F$14:$F$51,RAB!$C$14:$C$51,C286)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SUMIFS(RAB!$F$14:$F$51,RAB!$C$14:$C$51,C287)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SUMIFS(RAB!$F$14:$F$51,RAB!$C$14:$C$51,C288)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SUMIFS(RAB!$F$14:$F$51,RAB!$C$14:$C$51,C289)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SUMIFS(RAB!$F$14:$F$51,RAB!$C$14:$C$51,C290)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SUMIFS(RAB!$F$14:$F$51,RAB!$C$14:$C$51,C291)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SUMIFS(RAB!$F$14:$F$51,RAB!$C$14:$C$51,C292)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SUMIFS(RAB!$F$14:$F$51,RAB!$C$14:$C$51,C293)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SUMIFS(RAB!$F$14:$F$51,RAB!$C$14:$C$51,C294)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SUMIFS(RAB!$F$14:$F$51,RAB!$C$14:$C$51,C295)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SUMIFS(RAB!$F$14:$F$51,RAB!$C$14:$C$51,C296)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SUMIFS(RAB!$F$14:$F$51,RAB!$C$14:$C$51,C297)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SUMIFS(RAB!$F$14:$F$51,RAB!$C$14:$C$51,C298)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SUMIFS(RAB!$F$14:$F$51,RAB!$C$14:$C$51,C299)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SUMIFS(RAB!$F$14:$F$51,RAB!$C$14:$C$51,C300)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SUMIFS(RAB!$F$14:$F$51,RAB!$C$14:$C$51,C301)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SUMIFS(RAB!$F$14:$F$51,RAB!$C$14:$C$51,C302)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SUMIFS(RAB!$F$14:$F$51,RAB!$C$14:$C$51,C303)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SUMIFS(RAB!$F$14:$F$51,RAB!$C$14:$C$51,C304)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SUMIFS(RAB!$F$14:$F$51,RAB!$C$14:$C$51,C305)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SUMIFS(RAB!$F$14:$F$51,RAB!$C$14:$C$51,C306)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SUMIFS(RAB!$F$14:$F$51,RAB!$C$14:$C$51,C307)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SUMIFS(RAB!$F$14:$F$51,RAB!$C$14:$C$51,C308)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SUMIFS(RAB!$F$14:$F$51,RAB!$C$14:$C$51,C309)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SUMIFS(RAB!$F$14:$F$51,RAB!$C$14:$C$51,C310)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SUMIFS(RAB!$F$14:$F$51,RAB!$C$14:$C$51,C311)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SUMIFS(RAB!$F$14:$F$51,RAB!$C$14:$C$51,C312)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SUMIFS(RAB!$F$14:$F$51,RAB!$C$14:$C$51,C313)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SUMIFS(RAB!$F$14:$F$51,RAB!$C$14:$C$51,C314)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SUMIFS(RAB!$F$14:$F$51,RAB!$C$14:$C$51,C315)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SUMIFS(RAB!$F$14:$F$51,RAB!$C$14:$C$51,C316)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SUMIFS(RAB!$F$14:$F$51,RAB!$C$14:$C$51,C317)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SUMIFS(RAB!$F$14:$F$51,RAB!$C$14:$C$51,C318)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SUMIFS(RAB!$F$14:$F$51,RAB!$C$14:$C$51,C319)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SUMIFS(RAB!$F$14:$F$51,RAB!$C$14:$C$51,C320)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SUMIFS(RAB!$F$14:$F$51,RAB!$C$14:$C$51,C321)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SUMIFS(RAB!$F$14:$F$51,RAB!$C$14:$C$51,C322)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SUMIFS(RAB!$F$14:$F$51,RAB!$C$14:$C$51,C323)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SUMIFS(RAB!$F$14:$F$51,RAB!$C$14:$C$51,C324)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SUMIFS(RAB!$F$14:$F$51,RAB!$C$14:$C$51,C325)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SUMIFS(RAB!$F$14:$F$51,RAB!$C$14:$C$51,C326)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SUMIFS(RAB!$F$14:$F$51,RAB!$C$14:$C$51,C327)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SUMIFS(RAB!$F$14:$F$51,RAB!$C$14:$C$51,C328)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SUMIFS(RAB!$F$14:$F$51,RAB!$C$14:$C$51,C329)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SUMIFS(RAB!$F$14:$F$51,RAB!$C$14:$C$51,C330)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SUMIFS(RAB!$F$14:$F$51,RAB!$C$14:$C$51,C331)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SUMIFS(RAB!$F$14:$F$51,RAB!$C$14:$C$51,C332)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SUMIFS(RAB!$F$14:$F$51,RAB!$C$14:$C$51,C333)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SUMIFS(RAB!$F$14:$F$51,RAB!$C$14:$C$51,C334)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SUMIFS(RAB!$F$14:$F$51,RAB!$C$14:$C$51,C335)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SUMIFS(RAB!$F$14:$F$51,RAB!$C$14:$C$51,C336)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SUMIFS(RAB!$F$14:$F$51,RAB!$C$14:$C$51,C337)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SUMIFS(RAB!$F$14:$F$51,RAB!$C$14:$C$51,C338)</f>
        <v>2</v>
      </c>
      <c r="E338" s="24">
        <f t="shared" ca="1" si="22"/>
        <v>1</v>
      </c>
      <c r="F338" s="24">
        <f ca="1">IF(D338=0,0,SUM($E$223:E338))</f>
        <v>4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SUMIFS(RAB!$F$14:$F$51,RAB!$C$14:$C$51,C339)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SUMIFS(RAB!$F$14:$F$51,RAB!$C$14:$C$51,C340)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SUMIFS(RAB!$F$14:$F$51,RAB!$C$14:$C$51,C341)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SUMIFS(RAB!$F$14:$F$51,RAB!$C$14:$C$51,C342)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SUMIFS(RAB!$F$14:$F$51,RAB!$C$14:$C$51,C343)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SUMIFS(RAB!$F$14:$F$51,RAB!$C$14:$C$51,C344)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SUMIFS(RAB!$F$14:$F$51,RAB!$C$14:$C$51,C345)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SUMIFS(RAB!$F$14:$F$51,RAB!$C$14:$C$51,C346)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SUMIFS(RAB!$F$14:$F$51,RAB!$C$14:$C$51,C347)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SUMIFS(RAB!$F$14:$F$51,RAB!$C$14:$C$51,C348)</f>
        <v>35</v>
      </c>
      <c r="E348" s="24">
        <f t="shared" ca="1" si="22"/>
        <v>1</v>
      </c>
      <c r="F348" s="24">
        <f ca="1">IF(D348=0,0,SUM($E$223:E348))</f>
        <v>5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SUMIFS(RAB!$F$14:$F$51,RAB!$C$14:$C$51,C349)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SUMIFS(RAB!$F$14:$F$51,RAB!$C$14:$C$51,C350)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SUMIFS(RAB!$F$14:$F$51,RAB!$C$14:$C$51,C351)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SUMIFS(RAB!$F$14:$F$51,RAB!$C$14:$C$51,C352)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SUMIFS(RAB!$F$14:$F$51,RAB!$C$14:$C$51,C353)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SUMIFS(RAB!$F$14:$F$51,RAB!$C$14:$C$51,C354)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SUMIFS(RAB!$F$14:$F$51,RAB!$C$14:$C$51,C355)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SUMIFS(RAB!$F$14:$F$51,RAB!$C$14:$C$51,C356)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SUMIFS(RAB!$F$14:$F$51,RAB!$C$14:$C$51,C357)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SUMIFS(RAB!$F$14:$F$51,RAB!$C$14:$C$51,C358)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SUMIFS(RAB!$F$14:$F$51,RAB!$C$14:$C$51,C359)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SUMIFS(RAB!$F$14:$F$51,RAB!$C$14:$C$51,C360)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SUMIFS(RAB!$F$14:$F$51,RAB!$C$14:$C$51,C361)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SUMIFS(RAB!$F$14:$F$51,RAB!$C$14:$C$51,C362)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SUMIFS(RAB!$F$14:$F$51,RAB!$C$14:$C$51,C363)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SUMIFS(RAB!$F$14:$F$51,RAB!$C$14:$C$51,C364)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SUMIFS(RAB!$F$14:$F$51,RAB!$C$14:$C$51,C365)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SUMIFS(RAB!$F$14:$F$51,RAB!$C$14:$C$51,C366)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SUMIFS(RAB!$F$14:$F$51,RAB!$C$14:$C$51,C367)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SUMIFS(RAB!$F$14:$F$51,RAB!$C$14:$C$51,C368)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SUMIFS(RAB!$F$14:$F$51,RAB!$C$14:$C$51,C369)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SUMIFS(RAB!$F$14:$F$51,RAB!$C$14:$C$51,C370)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SUMIFS(RAB!$F$14:$F$51,RAB!$C$14:$C$51,C371)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SUMIFS(RAB!$F$14:$F$51,RAB!$C$14:$C$51,C372)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SUMIFS(RAB!$F$14:$F$51,RAB!$C$14:$C$51,C373)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2" priority="5" operator="equal">
      <formula>0</formula>
    </cfRule>
  </conditionalFormatting>
  <conditionalFormatting sqref="C16:C165">
    <cfRule type="cellIs" dxfId="41" priority="4" stopIfTrue="1" operator="equal">
      <formula>0</formula>
    </cfRule>
  </conditionalFormatting>
  <conditionalFormatting sqref="C16:E165">
    <cfRule type="cellIs" dxfId="40" priority="1" operator="equal">
      <formula>0</formula>
    </cfRule>
  </conditionalFormatting>
  <conditionalFormatting sqref="D224:F373">
    <cfRule type="cellIs" dxfId="39" priority="8" operator="equal">
      <formula>0</formula>
    </cfRule>
  </conditionalFormatting>
  <conditionalFormatting sqref="E1:E3 G1:G115 E6:E15 H12:I12 N13 F14:F15 H14:K115 E166:K166 G166:G223 E167:F167 H167:K167">
    <cfRule type="cellIs" dxfId="38" priority="43" stopIfTrue="1" operator="equal">
      <formula>0</formula>
    </cfRule>
  </conditionalFormatting>
  <conditionalFormatting sqref="E171:E65536">
    <cfRule type="cellIs" dxfId="37" priority="9" stopIfTrue="1" operator="equal">
      <formula>0</formula>
    </cfRule>
  </conditionalFormatting>
  <conditionalFormatting sqref="G224">
    <cfRule type="cellIs" dxfId="36" priority="10" operator="equal">
      <formula>0</formula>
    </cfRule>
  </conditionalFormatting>
  <conditionalFormatting sqref="G225:G65536">
    <cfRule type="cellIs" dxfId="35" priority="14" stopIfTrue="1" operator="equal">
      <formula>0</formula>
    </cfRule>
  </conditionalFormatting>
  <conditionalFormatting sqref="R14:T166 G116:K165">
    <cfRule type="cellIs" dxfId="3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2" sqref="C1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7" t="s">
        <v>41</v>
      </c>
      <c r="C2" s="55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8" t="s">
        <v>23</v>
      </c>
      <c r="C4" s="559" t="s">
        <v>1012</v>
      </c>
      <c r="D4" s="559" t="s">
        <v>42</v>
      </c>
      <c r="E4" s="558" t="s">
        <v>43</v>
      </c>
      <c r="F4" s="108" t="s">
        <v>1605</v>
      </c>
      <c r="G4" s="108" t="s">
        <v>1604</v>
      </c>
      <c r="H4" s="556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8"/>
      <c r="C5" s="559"/>
      <c r="D5" s="559"/>
      <c r="E5" s="558"/>
      <c r="F5" s="93"/>
      <c r="G5" s="93"/>
      <c r="H5" s="556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3" priority="138" operator="equal">
      <formula>0</formula>
    </cfRule>
  </conditionalFormatting>
  <conditionalFormatting sqref="B8:C135">
    <cfRule type="cellIs" dxfId="32" priority="51" operator="equal">
      <formula>0</formula>
    </cfRule>
  </conditionalFormatting>
  <conditionalFormatting sqref="B150:G1493">
    <cfRule type="cellIs" dxfId="31" priority="1" operator="equal">
      <formula>0</formula>
    </cfRule>
  </conditionalFormatting>
  <conditionalFormatting sqref="C143:G149">
    <cfRule type="cellIs" dxfId="30" priority="5" operator="equal">
      <formula>0</formula>
    </cfRule>
  </conditionalFormatting>
  <conditionalFormatting sqref="D9:G142">
    <cfRule type="cellIs" dxfId="29" priority="11" operator="equal">
      <formula>0</formula>
    </cfRule>
  </conditionalFormatting>
  <conditionalFormatting sqref="D1:IV5 A1:C7 D6:K6 H1455:IV1457 H1458:XFD1485 H1486:H1493 I1486:XFD1494 A1494:H1494 A1495:XFD65536">
    <cfRule type="cellIs" dxfId="28" priority="163" operator="equal">
      <formula>0</formula>
    </cfRule>
  </conditionalFormatting>
  <conditionalFormatting sqref="D7:IV8 C136:C142 B136:B149">
    <cfRule type="cellIs" dxfId="27" priority="62" operator="equal">
      <formula>0</formula>
    </cfRule>
  </conditionalFormatting>
  <conditionalFormatting sqref="H9:H1418">
    <cfRule type="cellIs" dxfId="26" priority="129" operator="equal">
      <formula>0</formula>
    </cfRule>
  </conditionalFormatting>
  <conditionalFormatting sqref="H1419:I1454">
    <cfRule type="cellIs" dxfId="25" priority="128" operator="equal">
      <formula>0</formula>
    </cfRule>
  </conditionalFormatting>
  <conditionalFormatting sqref="I108:I1418">
    <cfRule type="cellIs" dxfId="24" priority="125" operator="equal">
      <formula>0</formula>
    </cfRule>
  </conditionalFormatting>
  <conditionalFormatting sqref="J108:IV1454">
    <cfRule type="cellIs" dxfId="23" priority="139" operator="equal">
      <formula>0</formula>
    </cfRule>
  </conditionalFormatting>
  <conditionalFormatting sqref="M6:IV6">
    <cfRule type="cellIs" dxfId="22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topLeftCell="A8" zoomScale="70" zoomScaleNormal="70" zoomScaleSheetLayoutView="85" workbookViewId="0">
      <selection activeCell="D17" sqref="D17:E17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10.1406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4" t="s">
        <v>1454</v>
      </c>
      <c r="C2" s="564"/>
      <c r="D2" s="564"/>
      <c r="E2" s="564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9" t="s">
        <v>1532</v>
      </c>
      <c r="C4" s="570"/>
      <c r="D4" s="570"/>
      <c r="E4" s="571"/>
      <c r="F4" s="434"/>
      <c r="G4" s="434"/>
      <c r="H4" s="435"/>
      <c r="I4" s="594" t="s">
        <v>1533</v>
      </c>
      <c r="J4" s="595"/>
      <c r="K4" s="595"/>
      <c r="L4" s="596"/>
    </row>
    <row r="5" spans="1:12" ht="46.5" customHeight="1">
      <c r="A5" s="204"/>
      <c r="B5" s="437" t="s">
        <v>1379</v>
      </c>
      <c r="C5" s="277" t="s">
        <v>9</v>
      </c>
      <c r="D5" s="565" t="str">
        <f>DATA!D14</f>
        <v>TSEL IBS PLOSOREJO</v>
      </c>
      <c r="E5" s="566"/>
      <c r="F5" s="208"/>
      <c r="G5" s="208"/>
      <c r="I5" s="438" t="s">
        <v>1379</v>
      </c>
      <c r="J5" s="277" t="s">
        <v>9</v>
      </c>
      <c r="K5" s="597" t="str">
        <f>D5</f>
        <v>TSEL IBS PLOSOREJO</v>
      </c>
      <c r="L5" s="598"/>
    </row>
    <row r="6" spans="1:12" ht="31.5" customHeight="1">
      <c r="A6" s="204"/>
      <c r="B6" s="437" t="s">
        <v>1529</v>
      </c>
      <c r="C6" s="277" t="s">
        <v>9</v>
      </c>
      <c r="D6" s="574">
        <f>DATA!D17*1000</f>
        <v>0</v>
      </c>
      <c r="E6" s="575"/>
      <c r="F6" s="208"/>
      <c r="G6" s="208"/>
      <c r="I6" s="438" t="s">
        <v>1530</v>
      </c>
      <c r="J6" s="277" t="s">
        <v>9</v>
      </c>
      <c r="K6" s="599">
        <f>DATA!D20*1000</f>
        <v>11000</v>
      </c>
      <c r="L6" s="600"/>
    </row>
    <row r="7" spans="1:12" ht="30.75" customHeight="1">
      <c r="A7" s="204"/>
      <c r="B7" s="437" t="s">
        <v>1441</v>
      </c>
      <c r="C7" s="277" t="s">
        <v>9</v>
      </c>
      <c r="D7" s="572">
        <f>DATA!D18</f>
        <v>1</v>
      </c>
      <c r="E7" s="573"/>
      <c r="F7" s="436" t="s">
        <v>1453</v>
      </c>
      <c r="I7" s="438" t="s">
        <v>1441</v>
      </c>
      <c r="J7" s="277" t="s">
        <v>9</v>
      </c>
      <c r="K7" s="601">
        <f>DATA!D21</f>
        <v>1</v>
      </c>
      <c r="L7" s="602"/>
    </row>
    <row r="8" spans="1:12" ht="51" customHeight="1">
      <c r="A8" s="204"/>
      <c r="B8" s="437" t="s">
        <v>1442</v>
      </c>
      <c r="C8" s="277" t="s">
        <v>9</v>
      </c>
      <c r="D8" s="572">
        <f>DATA!D19</f>
        <v>220</v>
      </c>
      <c r="E8" s="573"/>
      <c r="F8" s="436" t="s">
        <v>1453</v>
      </c>
      <c r="G8" s="431">
        <v>220</v>
      </c>
      <c r="I8" s="438" t="s">
        <v>1442</v>
      </c>
      <c r="J8" s="277" t="s">
        <v>9</v>
      </c>
      <c r="K8" s="601">
        <f>DATA!D22</f>
        <v>220</v>
      </c>
      <c r="L8" s="602"/>
    </row>
    <row r="9" spans="1:12" ht="30" customHeight="1" thickBot="1">
      <c r="A9" s="204"/>
      <c r="B9" s="443" t="s">
        <v>1541</v>
      </c>
      <c r="C9" s="433" t="s">
        <v>9</v>
      </c>
      <c r="D9" s="567">
        <f>IF(D7=1,D6/(380/3^0.5),(D6/(380*3^0.5)))</f>
        <v>0</v>
      </c>
      <c r="E9" s="568"/>
      <c r="F9" s="207"/>
      <c r="G9" s="432">
        <v>380</v>
      </c>
      <c r="I9" s="444" t="s">
        <v>1541</v>
      </c>
      <c r="J9" s="433" t="s">
        <v>9</v>
      </c>
      <c r="K9" s="603">
        <f>IF(K7=1,K6/(380/3^0.5),(K6/(380*3^0.5)))</f>
        <v>50.138312850678027</v>
      </c>
      <c r="L9" s="604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576" t="s">
        <v>1626</v>
      </c>
      <c r="E12" s="577"/>
      <c r="F12" s="208"/>
      <c r="G12" s="208"/>
      <c r="I12" s="460" t="s">
        <v>1534</v>
      </c>
      <c r="J12" s="461" t="s">
        <v>9</v>
      </c>
      <c r="K12" s="576" t="s">
        <v>1626</v>
      </c>
      <c r="L12" s="577"/>
    </row>
    <row r="13" spans="1:12" ht="31.5" customHeight="1">
      <c r="A13" s="204"/>
      <c r="B13" s="468" t="s">
        <v>1380</v>
      </c>
      <c r="C13" s="448" t="s">
        <v>9</v>
      </c>
      <c r="D13" s="580" t="s">
        <v>1623</v>
      </c>
      <c r="E13" s="581"/>
      <c r="F13" s="208"/>
      <c r="G13" s="208"/>
      <c r="I13" s="462" t="s">
        <v>1380</v>
      </c>
      <c r="J13" s="448" t="s">
        <v>9</v>
      </c>
      <c r="K13" s="580" t="s">
        <v>1623</v>
      </c>
      <c r="L13" s="581"/>
    </row>
    <row r="14" spans="1:12" ht="30.75" customHeight="1">
      <c r="A14" s="204"/>
      <c r="B14" s="468" t="s">
        <v>1535</v>
      </c>
      <c r="C14" s="448" t="s">
        <v>9</v>
      </c>
      <c r="D14" s="588">
        <v>50</v>
      </c>
      <c r="E14" s="589"/>
      <c r="F14" s="517"/>
      <c r="G14" s="440">
        <v>50</v>
      </c>
      <c r="I14" s="462" t="s">
        <v>1535</v>
      </c>
      <c r="J14" s="448" t="s">
        <v>9</v>
      </c>
      <c r="K14" s="588">
        <v>50</v>
      </c>
      <c r="L14" s="589"/>
    </row>
    <row r="15" spans="1:12" ht="57" customHeight="1">
      <c r="A15" s="204"/>
      <c r="B15" s="468" t="s">
        <v>1441</v>
      </c>
      <c r="C15" s="448" t="s">
        <v>9</v>
      </c>
      <c r="D15" s="454">
        <v>1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1</v>
      </c>
      <c r="L15" s="463"/>
    </row>
    <row r="16" spans="1:12" ht="44.25" customHeight="1">
      <c r="A16" s="204"/>
      <c r="B16" s="468" t="s">
        <v>1545</v>
      </c>
      <c r="C16" s="448"/>
      <c r="D16" s="590">
        <f>75.7+73.8</f>
        <v>149.5</v>
      </c>
      <c r="E16" s="591"/>
      <c r="F16" s="436"/>
      <c r="G16" s="440">
        <v>160</v>
      </c>
      <c r="I16" s="462" t="s">
        <v>1537</v>
      </c>
      <c r="J16" s="448" t="s">
        <v>9</v>
      </c>
      <c r="K16" s="592">
        <f>K9</f>
        <v>50.138312850678027</v>
      </c>
      <c r="L16" s="593"/>
    </row>
    <row r="17" spans="1:12" ht="34.5" customHeight="1">
      <c r="A17" s="204"/>
      <c r="B17" s="468" t="s">
        <v>1538</v>
      </c>
      <c r="C17" s="448" t="s">
        <v>9</v>
      </c>
      <c r="D17" s="582">
        <f>IF(D15=1,D14/(20/3^0.5),(D14/(20*3^0.5)))</f>
        <v>4.3301270189221928</v>
      </c>
      <c r="E17" s="583"/>
      <c r="F17" s="436" t="s">
        <v>1453</v>
      </c>
      <c r="G17" s="441">
        <v>200</v>
      </c>
      <c r="I17" s="462" t="s">
        <v>1538</v>
      </c>
      <c r="J17" s="448" t="s">
        <v>9</v>
      </c>
      <c r="K17" s="586">
        <f>IF(K15=1,K14/(20/3^0.5),(K14/(20*3^0.5)))</f>
        <v>4.3301270189221928</v>
      </c>
      <c r="L17" s="587"/>
    </row>
    <row r="18" spans="1:12" ht="34.5" customHeight="1">
      <c r="A18" s="204"/>
      <c r="B18" s="468" t="s">
        <v>1539</v>
      </c>
      <c r="C18" s="448" t="s">
        <v>9</v>
      </c>
      <c r="D18" s="582">
        <f>IF(D15=1,D14/(380/3^0.5),(D14/(380*3^0.5)))*1000</f>
        <v>227.90142204853646</v>
      </c>
      <c r="E18" s="583"/>
      <c r="F18" s="436" t="s">
        <v>1453</v>
      </c>
      <c r="G18" s="441">
        <v>250</v>
      </c>
      <c r="I18" s="462" t="s">
        <v>1539</v>
      </c>
      <c r="J18" s="448" t="s">
        <v>9</v>
      </c>
      <c r="K18" s="586">
        <f>IF(K15=1,K14/(380/3^0.5),(K14/(380*3^0.5)))*1000</f>
        <v>227.90142204853646</v>
      </c>
      <c r="L18" s="587"/>
    </row>
    <row r="19" spans="1:12" ht="30" customHeight="1">
      <c r="A19" s="204"/>
      <c r="B19" s="469" t="s">
        <v>1531</v>
      </c>
      <c r="C19" s="447" t="s">
        <v>9</v>
      </c>
      <c r="D19" s="582">
        <f>IF(D15=1,D14/(380/3^0.5),(D14/(380*3^0.5)))</f>
        <v>0.22790142204853647</v>
      </c>
      <c r="E19" s="583"/>
      <c r="F19" s="207"/>
      <c r="G19" s="432"/>
      <c r="I19" s="464" t="s">
        <v>1531</v>
      </c>
      <c r="J19" s="447" t="s">
        <v>9</v>
      </c>
      <c r="K19" s="586">
        <f>IF(K15=1,K14/(380/3^0.5),(K14/(380*3^0.5)))</f>
        <v>0.22790142204853647</v>
      </c>
      <c r="L19" s="587"/>
    </row>
    <row r="20" spans="1:12" ht="30" customHeight="1" thickBot="1">
      <c r="A20" s="204"/>
      <c r="B20" s="470" t="s">
        <v>1540</v>
      </c>
      <c r="C20" s="466" t="s">
        <v>9</v>
      </c>
      <c r="D20" s="578">
        <f>D16/D18</f>
        <v>0.65598537585325289</v>
      </c>
      <c r="E20" s="579"/>
      <c r="F20" s="207"/>
      <c r="G20" s="432"/>
      <c r="I20" s="465" t="s">
        <v>1531</v>
      </c>
      <c r="J20" s="466" t="s">
        <v>9</v>
      </c>
      <c r="K20" s="584">
        <f>K16/K18</f>
        <v>0.22000000000000003</v>
      </c>
      <c r="L20" s="585"/>
    </row>
    <row r="21" spans="1:12" ht="9.75" customHeight="1">
      <c r="A21" s="204"/>
      <c r="B21" s="455" t="s">
        <v>1540</v>
      </c>
      <c r="C21" s="456" t="s">
        <v>9</v>
      </c>
      <c r="D21" s="563">
        <v>1</v>
      </c>
      <c r="E21" s="563"/>
      <c r="F21" s="457"/>
      <c r="G21" s="458"/>
      <c r="H21" s="459"/>
      <c r="I21" s="455" t="s">
        <v>1531</v>
      </c>
      <c r="J21" s="456" t="s">
        <v>9</v>
      </c>
      <c r="K21" s="563">
        <v>1</v>
      </c>
      <c r="L21" s="563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60"/>
      <c r="C24" s="561"/>
      <c r="D24" s="561"/>
      <c r="E24" s="562"/>
      <c r="I24" s="560"/>
      <c r="J24" s="561"/>
      <c r="K24" s="561"/>
      <c r="L24" s="562"/>
    </row>
    <row r="26" spans="1:12">
      <c r="D26" s="450"/>
    </row>
    <row r="27" spans="1:12">
      <c r="D27" s="451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1" priority="5" stopIfTrue="1" operator="greaterThan">
      <formula>0.89</formula>
    </cfRule>
    <cfRule type="cellIs" dxfId="20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PDL!$S$28:$S$29</xm:f>
          </x14:formula1>
          <xm:sqref>D15 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opLeftCell="A11" zoomScaleNormal="100" workbookViewId="0">
      <selection activeCell="D21" sqref="D21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8.710937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5"/>
      <c r="C1" s="605"/>
      <c r="D1" s="605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RAB!K57</f>
        <v>37826551.251000002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756531.02502000006</v>
      </c>
    </row>
    <row r="12" spans="2:11" ht="9" customHeight="1">
      <c r="B12" s="606"/>
      <c r="C12" s="606"/>
      <c r="D12" s="606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1624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1610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>
        <v>0</v>
      </c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1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220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v>11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f>IF((D20&lt;=11),1,3)</f>
        <v>1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220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1444.7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1444.7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L9" sqref="L9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7" t="s">
        <v>1357</v>
      </c>
      <c r="C3" s="607"/>
      <c r="D3" s="607"/>
      <c r="E3" s="607"/>
      <c r="F3" s="305" t="str">
        <f>DATA!D14</f>
        <v>TSEL IBS PLOSOREJO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8" t="s">
        <v>1349</v>
      </c>
      <c r="C5" s="608" t="s">
        <v>1358</v>
      </c>
      <c r="D5" s="609" t="s">
        <v>1359</v>
      </c>
      <c r="E5" s="609" t="s">
        <v>1360</v>
      </c>
      <c r="F5" s="608" t="s">
        <v>1361</v>
      </c>
      <c r="G5" s="608"/>
      <c r="H5" s="608"/>
      <c r="I5" s="608"/>
      <c r="J5" s="608"/>
      <c r="K5" s="608" t="s">
        <v>1362</v>
      </c>
      <c r="L5" s="608"/>
      <c r="M5" s="307"/>
      <c r="N5" s="612" t="s">
        <v>1363</v>
      </c>
      <c r="O5" s="609" t="s">
        <v>1364</v>
      </c>
      <c r="P5" s="609" t="s">
        <v>1365</v>
      </c>
      <c r="Q5" s="609" t="s">
        <v>1366</v>
      </c>
      <c r="R5" s="308"/>
      <c r="S5" s="309"/>
      <c r="T5" s="610" t="s">
        <v>1367</v>
      </c>
      <c r="U5" s="310"/>
    </row>
    <row r="6" spans="1:21" ht="20.100000000000001" customHeight="1">
      <c r="B6" s="608"/>
      <c r="C6" s="608"/>
      <c r="D6" s="608"/>
      <c r="E6" s="608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3"/>
      <c r="O6" s="608"/>
      <c r="P6" s="608"/>
      <c r="Q6" s="608"/>
      <c r="R6" s="308"/>
      <c r="S6" s="309"/>
      <c r="T6" s="608"/>
      <c r="U6" s="312"/>
    </row>
    <row r="7" spans="1:21" ht="20.100000000000001" customHeight="1">
      <c r="A7" s="313">
        <v>0</v>
      </c>
      <c r="B7" s="314">
        <v>2023</v>
      </c>
      <c r="C7" s="471">
        <f>DATA!D8*DATA!D26*4</f>
        <v>1760</v>
      </c>
      <c r="D7" s="316">
        <f>C7*4/24</f>
        <v>293.33333333333331</v>
      </c>
      <c r="E7" s="316">
        <f>C7-D7</f>
        <v>1466.6666666666667</v>
      </c>
      <c r="F7" s="317">
        <f ca="1">DATA!D10/1000000</f>
        <v>37.826551251000005</v>
      </c>
      <c r="G7" s="318">
        <f ca="1">DATA!$D$11/1000000</f>
        <v>0.75653102502000003</v>
      </c>
      <c r="H7" s="318">
        <f>C7*DATA!$D$5/1000000</f>
        <v>1.908060080760388</v>
      </c>
      <c r="I7" s="318">
        <f>(C7*DATA!$D$5*DATA!$D$7)/1000000</f>
        <v>4.2931351817108727E-2</v>
      </c>
      <c r="J7" s="316">
        <f ca="1">SUM(F7:I7)</f>
        <v>40.534073708597504</v>
      </c>
      <c r="K7" s="319">
        <f>DATA!D9/1000000</f>
        <v>10.659000000000001</v>
      </c>
      <c r="L7" s="316">
        <f>((D7*DATA!$D$23)/1000000)+((E7*DATA!$D$24)/1000000)</f>
        <v>2.542672</v>
      </c>
      <c r="M7" s="316">
        <f>K7+L7</f>
        <v>13.201672</v>
      </c>
      <c r="N7" s="316">
        <f ca="1">M7-J7</f>
        <v>-27.332401708597502</v>
      </c>
      <c r="O7" s="314">
        <v>1</v>
      </c>
      <c r="P7" s="316">
        <f ca="1">O7*N7</f>
        <v>-27.332401708597502</v>
      </c>
      <c r="Q7" s="316">
        <f ca="1">P7</f>
        <v>-27.332401708597502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0.75653102502000003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6.60950532275249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1.0185106772475097</v>
      </c>
      <c r="O8" s="315">
        <f>1/(1+'[92]Asumsi I'!$C$3)^(KKF!A8)</f>
        <v>0.89285714285714279</v>
      </c>
      <c r="P8" s="316">
        <f ca="1">O8*N8</f>
        <v>0.90938453325670499</v>
      </c>
      <c r="Q8" s="316">
        <f ca="1">Q7+P8</f>
        <v>-26.423017175340796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0.75653102502000003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6.60950532275249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1.0185106772475097</v>
      </c>
      <c r="O9" s="322">
        <f>1/(1+'[92]Asumsi I'!$C$3)^(KKF!A9)</f>
        <v>0.79719387755102034</v>
      </c>
      <c r="P9" s="316">
        <f t="shared" ref="P9:P32" ca="1" si="7">O9*N9</f>
        <v>0.81195047612205795</v>
      </c>
      <c r="Q9" s="316">
        <f ca="1">Q8+P9</f>
        <v>-25.611066699218739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0.75653102502000003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6.60950532275249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1.0185106772475097</v>
      </c>
      <c r="O10" s="315">
        <f>1/(1+'[92]Asumsi I'!$C$3)^(KKF!A10)</f>
        <v>0.71178024781341087</v>
      </c>
      <c r="P10" s="316">
        <f t="shared" ca="1" si="7"/>
        <v>0.72495578225183732</v>
      </c>
      <c r="Q10" s="316">
        <f t="shared" ref="Q10:Q30" ca="1" si="9">Q9+P10</f>
        <v>-24.886110916966903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0.75653102502000003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6.60950532275249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1.0185106772475097</v>
      </c>
      <c r="O11" s="315">
        <f>1/(1+'[92]Asumsi I'!$C$3)^(KKF!A11)</f>
        <v>0.63551807840483121</v>
      </c>
      <c r="P11" s="316">
        <f t="shared" ca="1" si="7"/>
        <v>0.64728194843914055</v>
      </c>
      <c r="Q11" s="316">
        <f t="shared" ca="1" si="9"/>
        <v>-24.238828968527763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0.75653102502000003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6.60950532275249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1.0185106772475097</v>
      </c>
      <c r="O12" s="315">
        <f>1/(1+'[92]Asumsi I'!$C$3)^(KKF!A12)</f>
        <v>0.56742685571859919</v>
      </c>
      <c r="P12" s="316">
        <f t="shared" ca="1" si="7"/>
        <v>0.57793031110637538</v>
      </c>
      <c r="Q12" s="316">
        <f t="shared" ca="1" si="9"/>
        <v>-23.660898657421388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0.75653102502000003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6.60950532275249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1.0185106772475097</v>
      </c>
      <c r="O13" s="315">
        <f>1/(1+'[92]Asumsi I'!$C$3)^(KKF!A13)</f>
        <v>0.50663112117732068</v>
      </c>
      <c r="P13" s="316">
        <f t="shared" ca="1" si="7"/>
        <v>0.51600920634497804</v>
      </c>
      <c r="Q13" s="316">
        <f t="shared" ca="1" si="9"/>
        <v>-23.144889451076409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0.75653102502000003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6.60950532275249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1.0185106772475097</v>
      </c>
      <c r="O14" s="315">
        <f>1/(1+'[92]Asumsi I'!$C$3)^(KKF!A14)</f>
        <v>0.45234921533689343</v>
      </c>
      <c r="P14" s="316">
        <f t="shared" ca="1" si="7"/>
        <v>0.46072250566515893</v>
      </c>
      <c r="Q14" s="316">
        <f t="shared" ca="1" si="9"/>
        <v>-22.684166945411249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0.75653102502000003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6.60950532275249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1.0185106772475097</v>
      </c>
      <c r="O15" s="315">
        <f>1/(1+'[92]Asumsi I'!$C$3)^(KKF!A15)</f>
        <v>0.4038832279793691</v>
      </c>
      <c r="P15" s="316">
        <f t="shared" ca="1" si="7"/>
        <v>0.41135938005817757</v>
      </c>
      <c r="Q15" s="316">
        <f t="shared" ca="1" si="9"/>
        <v>-22.272807565353073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0.75653102502000003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6.60950532275249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1.0185106772475097</v>
      </c>
      <c r="O16" s="315">
        <f>1/(1+'[92]Asumsi I'!$C$3)^(KKF!A16)</f>
        <v>0.36061002498157957</v>
      </c>
      <c r="P16" s="316">
        <f t="shared" ca="1" si="7"/>
        <v>0.36728516076622997</v>
      </c>
      <c r="Q16" s="316">
        <f t="shared" ca="1" si="9"/>
        <v>-21.905522404586844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0.75653102502000003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6.60950532275249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1.0185106772475097</v>
      </c>
      <c r="O17" s="315">
        <f>1/(1+'[92]Asumsi I'!$C$3)^(KKF!A17)</f>
        <v>0.32197323659069599</v>
      </c>
      <c r="P17" s="316">
        <f t="shared" ca="1" si="7"/>
        <v>0.32793317925556242</v>
      </c>
      <c r="Q17" s="316">
        <f t="shared" ca="1" si="9"/>
        <v>-21.57758922533128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0.75653102502000003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6.60950532275249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1.0185106772475097</v>
      </c>
      <c r="O18" s="315">
        <f>1/(1+'[92]Asumsi I'!$C$3)^(KKF!A18)</f>
        <v>0.28747610409883567</v>
      </c>
      <c r="P18" s="316">
        <f t="shared" ca="1" si="7"/>
        <v>0.29279748147818069</v>
      </c>
      <c r="Q18" s="316">
        <f t="shared" ca="1" si="9"/>
        <v>-21.284791743853098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0.75653102502000003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6.60950532275249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1.0185106772475097</v>
      </c>
      <c r="O19" s="315">
        <f>1/(1+'[92]Asumsi I'!$C$3)^(KKF!A19)</f>
        <v>0.25667509294538904</v>
      </c>
      <c r="P19" s="316">
        <f t="shared" ca="1" si="7"/>
        <v>0.26142632274837568</v>
      </c>
      <c r="Q19" s="316">
        <f t="shared" ca="1" si="9"/>
        <v>-21.023365421104725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0.75653102502000003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6.60950532275249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1.0185106772475097</v>
      </c>
      <c r="O20" s="315">
        <f>1/(1+'[92]Asumsi I'!$C$3)^(KKF!A20)</f>
        <v>0.22917419012981158</v>
      </c>
      <c r="P20" s="316">
        <f t="shared" ca="1" si="7"/>
        <v>0.23341635959676393</v>
      </c>
      <c r="Q20" s="316">
        <f t="shared" ca="1" si="9"/>
        <v>-20.789949061507961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0.75653102502000003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6.60950532275249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1.0185106772475097</v>
      </c>
      <c r="O21" s="315">
        <f>1/(1+'[92]Asumsi I'!$C$3)^(KKF!A21)</f>
        <v>0.20461981261590317</v>
      </c>
      <c r="P21" s="316">
        <f t="shared" ca="1" si="7"/>
        <v>0.20840746392568207</v>
      </c>
      <c r="Q21" s="316">
        <f t="shared" ca="1" si="9"/>
        <v>-20.58154159758228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0.75653102502000003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6.60950532275249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1.0185106772475097</v>
      </c>
      <c r="O22" s="315">
        <f>1/(1+'[92]Asumsi I'!$C$3)^(KKF!A22)</f>
        <v>0.18269626126419927</v>
      </c>
      <c r="P22" s="316">
        <f t="shared" ca="1" si="7"/>
        <v>0.18607809279078757</v>
      </c>
      <c r="Q22" s="316">
        <f t="shared" ca="1" si="9"/>
        <v>-20.395463504791493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0.75653102502000003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6.60950532275249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1.0185106772475097</v>
      </c>
      <c r="O23" s="315">
        <f>1/(1+'[92]Asumsi I'!$C$3)^(KKF!A23)</f>
        <v>0.16312166184303503</v>
      </c>
      <c r="P23" s="316">
        <f t="shared" ca="1" si="7"/>
        <v>0.16614115427748885</v>
      </c>
      <c r="Q23" s="316">
        <f t="shared" ca="1" si="9"/>
        <v>-20.229322350514003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0.75653102502000003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6.60950532275249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1.0185106772475097</v>
      </c>
      <c r="O24" s="315">
        <f>1/(1+'[92]Asumsi I'!$C$3)^(KKF!A24)</f>
        <v>0.14564434093128129</v>
      </c>
      <c r="P24" s="316">
        <f t="shared" ca="1" si="7"/>
        <v>0.14834031631918648</v>
      </c>
      <c r="Q24" s="316">
        <f t="shared" ca="1" si="9"/>
        <v>-20.080982034194818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0.75653102502000003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6.60950532275249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1.0185106772475097</v>
      </c>
      <c r="O25" s="315">
        <f>1/(1+'[92]Asumsi I'!$C$3)^(KKF!A25)</f>
        <v>0.13003959011721541</v>
      </c>
      <c r="P25" s="316">
        <f t="shared" ca="1" si="7"/>
        <v>0.13244671099927363</v>
      </c>
      <c r="Q25" s="316">
        <f t="shared" ca="1" si="9"/>
        <v>-19.948535323195543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0.75653102502000003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6.60950532275249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1.0185106772475097</v>
      </c>
      <c r="O26" s="315">
        <f>1/(1+'[92]Asumsi I'!$C$3)^(KKF!A26)</f>
        <v>0.1161067768903709</v>
      </c>
      <c r="P26" s="316">
        <f t="shared" ca="1" si="7"/>
        <v>0.11825599196363716</v>
      </c>
      <c r="Q26" s="316">
        <f t="shared" ca="1" si="9"/>
        <v>-19.830279331231907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0.75653102502000003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6.60950532275249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1.0185106772475097</v>
      </c>
      <c r="O27" s="315">
        <f>1/(1+'[92]Asumsi I'!$C$3)^(KKF!A27)</f>
        <v>0.1036667650806883</v>
      </c>
      <c r="P27" s="316">
        <f t="shared" ca="1" si="7"/>
        <v>0.10558570711039032</v>
      </c>
      <c r="Q27" s="316">
        <f t="shared" ca="1" si="9"/>
        <v>-19.724693624121517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0.75653102502000003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6.60950532275249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1.0185106772475097</v>
      </c>
      <c r="O28" s="315">
        <f>1/(1+'[92]Asumsi I'!$C$3)^(KKF!A28)</f>
        <v>9.2559611679185971E-2</v>
      </c>
      <c r="P28" s="316">
        <f t="shared" ca="1" si="7"/>
        <v>9.4272952777134211E-2</v>
      </c>
      <c r="Q28" s="316">
        <f t="shared" ca="1" si="9"/>
        <v>-19.630420671344382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0.75653102502000003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6.60950532275249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1.0185106772475097</v>
      </c>
      <c r="O29" s="315">
        <f>1/(1+'[92]Asumsi I'!$C$3)^(KKF!A29)</f>
        <v>8.2642510427844609E-2</v>
      </c>
      <c r="P29" s="316">
        <f t="shared" ca="1" si="7"/>
        <v>8.4172279265298397E-2</v>
      </c>
      <c r="Q29" s="316">
        <f t="shared" ca="1" si="9"/>
        <v>-19.546248392079082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0.75653102502000003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6.60950532275249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1.0185106772475097</v>
      </c>
      <c r="O30" s="315">
        <f>1/(1+'[92]Asumsi I'!$C$3)^(KKF!A30)</f>
        <v>7.3787955739146982E-2</v>
      </c>
      <c r="P30" s="316">
        <f t="shared" ca="1" si="7"/>
        <v>7.5153820772587865E-2</v>
      </c>
      <c r="Q30" s="316">
        <f t="shared" ca="1" si="9"/>
        <v>-19.471094571306494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0.75653102502000003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6.60950532275249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1.0185106772475097</v>
      </c>
      <c r="O31" s="315">
        <f>1/(1+'[92]Asumsi I'!$C$3)^(KKF!A31)</f>
        <v>6.5882103338524081E-2</v>
      </c>
      <c r="P31" s="316">
        <f t="shared" ca="1" si="7"/>
        <v>6.7101625689810582E-2</v>
      </c>
      <c r="Q31" s="316">
        <f ca="1">Q30+P31</f>
        <v>-19.403992945616682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0.75653102502000003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6.60950532275249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1.0185106772475097</v>
      </c>
      <c r="O32" s="315">
        <f>1/(1+'[92]Asumsi I'!$C$3)^(KKF!A32)</f>
        <v>5.8823306552253637E-2</v>
      </c>
      <c r="P32" s="316">
        <f t="shared" ca="1" si="7"/>
        <v>5.9912165794473726E-2</v>
      </c>
      <c r="Q32" s="316">
        <f ca="1">Q31+P32</f>
        <v>-19.34408077982221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1" t="s">
        <v>1374</v>
      </c>
      <c r="G33" s="611"/>
      <c r="H33" s="611"/>
      <c r="I33" s="324"/>
      <c r="J33" s="325">
        <f ca="1">SUM(J7:J32)</f>
        <v>205.77170677740961</v>
      </c>
      <c r="K33" s="611" t="s">
        <v>1375</v>
      </c>
      <c r="L33" s="611"/>
      <c r="M33" s="325">
        <f>SUM(M7:M32)</f>
        <v>203.90207200000003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39.797396938576483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0.99091403377709253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-17.271500696269829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-5.3777745134089283E-3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9" priority="1" stopIfTrue="1" operator="greaterThanOrEqual">
      <formula>$F$7</formula>
    </cfRule>
    <cfRule type="cellIs" dxfId="18" priority="2" stopIfTrue="1" operator="lessThan">
      <formula>$F$7</formula>
    </cfRule>
  </conditionalFormatting>
  <conditionalFormatting sqref="Q7:Q32">
    <cfRule type="cellIs" dxfId="17" priority="3" operator="lessThan">
      <formula>0</formula>
    </cfRule>
    <cfRule type="cellIs" dxfId="16" priority="4" operator="lessThan">
      <formula>0</formula>
    </cfRule>
    <cfRule type="cellIs" dxfId="15" priority="5" operator="lessThan">
      <formula>-6395.81</formula>
    </cfRule>
    <cfRule type="cellIs" dxfId="14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</sheetPr>
  <dimension ref="A1:V72"/>
  <sheetViews>
    <sheetView showGridLines="0" zoomScale="85" zoomScaleNormal="85" zoomScaleSheetLayoutView="70" workbookViewId="0">
      <pane ySplit="13" topLeftCell="A56" activePane="bottomLeft" state="frozen"/>
      <selection activeCell="H1093" sqref="H1093"/>
      <selection pane="bottomLeft" activeCell="C41" sqref="C41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4" t="s">
        <v>1036</v>
      </c>
      <c r="P3" s="614"/>
      <c r="Q3" s="346"/>
      <c r="T3" s="344"/>
      <c r="U3" s="345" t="s">
        <v>1041</v>
      </c>
      <c r="V3" s="344"/>
    </row>
    <row r="4" spans="1:22" ht="18.75">
      <c r="B4" s="615" t="s">
        <v>1023</v>
      </c>
      <c r="C4" s="615"/>
      <c r="D4" s="615"/>
      <c r="E4" s="615"/>
      <c r="F4" s="615"/>
      <c r="G4" s="615"/>
      <c r="H4" s="615"/>
      <c r="I4" s="615"/>
      <c r="J4" s="615"/>
      <c r="K4" s="615"/>
      <c r="O4" s="614"/>
      <c r="P4" s="614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1" t="str">
        <f>DATA!D14</f>
        <v>TSEL IBS PLOSOREJO</v>
      </c>
      <c r="H6" s="632"/>
      <c r="I6" s="632"/>
      <c r="J6" s="632"/>
      <c r="K6" s="632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1625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17" t="s">
        <v>0</v>
      </c>
      <c r="C11" s="619" t="s">
        <v>1</v>
      </c>
      <c r="D11" s="622" t="s">
        <v>42</v>
      </c>
      <c r="E11" s="622" t="s">
        <v>43</v>
      </c>
      <c r="F11" s="622" t="s">
        <v>2</v>
      </c>
      <c r="G11" s="624" t="s">
        <v>41</v>
      </c>
      <c r="H11" s="622" t="s">
        <v>3</v>
      </c>
      <c r="I11" s="622"/>
      <c r="J11" s="622"/>
      <c r="K11" s="642"/>
      <c r="O11" s="351"/>
      <c r="P11" s="352"/>
      <c r="Q11" s="351"/>
      <c r="S11" s="353"/>
      <c r="T11" s="354"/>
      <c r="U11" s="354"/>
      <c r="V11" s="354"/>
    </row>
    <row r="12" spans="1:22">
      <c r="B12" s="618"/>
      <c r="C12" s="620"/>
      <c r="D12" s="623"/>
      <c r="E12" s="623"/>
      <c r="F12" s="623"/>
      <c r="G12" s="625"/>
      <c r="H12" s="627" t="s">
        <v>46</v>
      </c>
      <c r="I12" s="627" t="s">
        <v>5</v>
      </c>
      <c r="J12" s="623" t="s">
        <v>47</v>
      </c>
      <c r="K12" s="643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18"/>
      <c r="C13" s="621"/>
      <c r="D13" s="623"/>
      <c r="E13" s="623"/>
      <c r="F13" s="623"/>
      <c r="G13" s="626"/>
      <c r="H13" s="628"/>
      <c r="I13" s="628"/>
      <c r="J13" s="623"/>
      <c r="K13" s="643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97"/>
      <c r="C15" s="498"/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500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</row>
    <row r="16" spans="1:22">
      <c r="B16" s="499" t="s">
        <v>480</v>
      </c>
      <c r="C16" s="496" t="s">
        <v>1612</v>
      </c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500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21" ca="1" si="8">IF(OR(D16="MDU",D16="MDU-KD"),(IF($O$3="RAB NON MDU","PLN KD",G16*F16)),0)</f>
        <v>0</v>
      </c>
      <c r="I16" s="361">
        <f t="shared" ref="I16:I21" ca="1" si="9">IF(D16="HDW",G16*F16,0)</f>
        <v>0</v>
      </c>
      <c r="J16" s="361">
        <f t="shared" ref="J16:J21" ca="1" si="10">IF(D16="JASA",G16*F16,0)</f>
        <v>0</v>
      </c>
      <c r="K16" s="362">
        <f t="shared" ref="K16:K21" ca="1" si="11">SUM(H16:J16)</f>
        <v>0</v>
      </c>
    </row>
    <row r="17" spans="2:11">
      <c r="B17" s="486" t="s">
        <v>1035</v>
      </c>
      <c r="C17" s="487" t="s">
        <v>1620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>Unit</v>
      </c>
      <c r="F17" s="515">
        <v>1</v>
      </c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</row>
    <row r="18" spans="2:11" ht="30">
      <c r="B18" s="513">
        <v>1</v>
      </c>
      <c r="C18" s="109" t="s">
        <v>1141</v>
      </c>
      <c r="D18" s="358" t="str">
        <f ca="1">IF(ISERROR(OFFSET('HARGA SATUAN'!$D$6,MATCH(RAB!C18,'HARGA SATUAN'!$C$7:$C$1492,0),0)),"",OFFSET('HARGA SATUAN'!$D$6,MATCH(RAB!C18,'HARGA SATUAN'!$C$7:$C$1492,0),0))</f>
        <v>MDU-KD</v>
      </c>
      <c r="E18" s="359" t="str">
        <f ca="1">IF(B18="+","Unit",IF(ISERROR(OFFSET('HARGA SATUAN'!$E$6,MATCH(RAB!C18,'HARGA SATUAN'!$C$7:$C$1492,0),0)),"",OFFSET('HARGA SATUAN'!$E$6,MATCH(RAB!C18,'HARGA SATUAN'!$C$7:$C$1492,0),0)))</f>
        <v>Bh</v>
      </c>
      <c r="F18" s="515">
        <f>F17*1</f>
        <v>1</v>
      </c>
      <c r="G18" s="360">
        <f ca="1">IF(ISERROR(OFFSET('HARGA SATUAN'!$I$6,MATCH(RAB!C18,'HARGA SATUAN'!$C$7:$C$1492,0),0)),0,OFFSET('HARGA SATUAN'!$I$6,MATCH(RAB!C18,'HARGA SATUAN'!$C$7:$C$1492,0),0))</f>
        <v>1740750</v>
      </c>
      <c r="H18" s="361">
        <f t="shared" ca="1" si="8"/>
        <v>1740750</v>
      </c>
      <c r="I18" s="361">
        <f t="shared" ca="1" si="9"/>
        <v>0</v>
      </c>
      <c r="J18" s="361">
        <f t="shared" ca="1" si="10"/>
        <v>0</v>
      </c>
      <c r="K18" s="362">
        <f t="shared" ca="1" si="11"/>
        <v>1740750</v>
      </c>
    </row>
    <row r="19" spans="2:11">
      <c r="B19" s="513">
        <v>2</v>
      </c>
      <c r="C19" s="514" t="s">
        <v>493</v>
      </c>
      <c r="D19" s="358" t="str">
        <f ca="1">IF(ISERROR(OFFSET('HARGA SATUAN'!$D$6,MATCH(RAB!C19,'HARGA SATUAN'!$C$7:$C$1492,0),0)),"",OFFSET('HARGA SATUAN'!$D$6,MATCH(RAB!C19,'HARGA SATUAN'!$C$7:$C$1492,0),0))</f>
        <v>MDU-KD</v>
      </c>
      <c r="E19" s="359" t="str">
        <f ca="1">IF(B19="+","Unit",IF(ISERROR(OFFSET('HARGA SATUAN'!$E$6,MATCH(RAB!C19,'HARGA SATUAN'!$C$7:$C$1492,0),0)),"",OFFSET('HARGA SATUAN'!$E$6,MATCH(RAB!C19,'HARGA SATUAN'!$C$7:$C$1492,0),0)))</f>
        <v>Bh</v>
      </c>
      <c r="F19" s="515">
        <f>F17*1</f>
        <v>1</v>
      </c>
      <c r="G19" s="360">
        <f ca="1">IF(ISERROR(OFFSET('HARGA SATUAN'!$I$6,MATCH(RAB!C19,'HARGA SATUAN'!$C$7:$C$1492,0),0)),0,OFFSET('HARGA SATUAN'!$I$6,MATCH(RAB!C19,'HARGA SATUAN'!$C$7:$C$1492,0),0))</f>
        <v>39000</v>
      </c>
      <c r="H19" s="361">
        <f t="shared" ca="1" si="8"/>
        <v>39000</v>
      </c>
      <c r="I19" s="361">
        <f t="shared" ca="1" si="9"/>
        <v>0</v>
      </c>
      <c r="J19" s="361">
        <f t="shared" ca="1" si="10"/>
        <v>0</v>
      </c>
      <c r="K19" s="362">
        <f t="shared" ca="1" si="11"/>
        <v>39000</v>
      </c>
    </row>
    <row r="20" spans="2:11">
      <c r="B20" s="513">
        <v>3</v>
      </c>
      <c r="C20" s="514" t="s">
        <v>74</v>
      </c>
      <c r="D20" s="358" t="str">
        <f ca="1">IF(ISERROR(OFFSET('HARGA SATUAN'!$D$6,MATCH(RAB!C20,'HARGA SATUAN'!$C$7:$C$1492,0),0)),"",OFFSET('HARGA SATUAN'!$D$6,MATCH(RAB!C20,'HARGA SATUAN'!$C$7:$C$1492,0),0))</f>
        <v>MDU-KD</v>
      </c>
      <c r="E20" s="359" t="str">
        <f ca="1">IF(B20="+","Unit",IF(ISERROR(OFFSET('HARGA SATUAN'!$E$6,MATCH(RAB!C20,'HARGA SATUAN'!$C$7:$C$1492,0),0)),"",OFFSET('HARGA SATUAN'!$E$6,MATCH(RAB!C20,'HARGA SATUAN'!$C$7:$C$1492,0),0)))</f>
        <v>Mtr</v>
      </c>
      <c r="F20" s="515">
        <f>F17*35</f>
        <v>35</v>
      </c>
      <c r="G20" s="360">
        <f ca="1">IF(ISERROR(OFFSET('HARGA SATUAN'!$I$6,MATCH(RAB!C20,'HARGA SATUAN'!$C$7:$C$1492,0),0)),0,OFFSET('HARGA SATUAN'!$I$6,MATCH(RAB!C20,'HARGA SATUAN'!$C$7:$C$1492,0),0))</f>
        <v>6600</v>
      </c>
      <c r="H20" s="361">
        <f t="shared" ca="1" si="8"/>
        <v>231000</v>
      </c>
      <c r="I20" s="361">
        <f t="shared" ca="1" si="9"/>
        <v>0</v>
      </c>
      <c r="J20" s="361">
        <f t="shared" ca="1" si="10"/>
        <v>0</v>
      </c>
      <c r="K20" s="362">
        <f t="shared" ca="1" si="11"/>
        <v>231000</v>
      </c>
    </row>
    <row r="21" spans="2:11">
      <c r="B21" s="513">
        <v>4</v>
      </c>
      <c r="C21" s="514" t="s">
        <v>798</v>
      </c>
      <c r="D21" s="358" t="str">
        <f ca="1">IF(ISERROR(OFFSET('HARGA SATUAN'!$D$6,MATCH(RAB!C21,'HARGA SATUAN'!$C$7:$C$1492,0),0)),"",OFFSET('HARGA SATUAN'!$D$6,MATCH(RAB!C21,'HARGA SATUAN'!$C$7:$C$1492,0),0))</f>
        <v>JASA</v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515">
        <f>F17*1</f>
        <v>1</v>
      </c>
      <c r="G21" s="360">
        <f ca="1">IF(ISERROR(OFFSET('HARGA SATUAN'!$I$6,MATCH(RAB!C21,'HARGA SATUAN'!$C$7:$C$1492,0),0)),0,OFFSET('HARGA SATUAN'!$I$6,MATCH(RAB!C21,'HARGA SATUAN'!$C$7:$C$1492,0),0))</f>
        <v>54400</v>
      </c>
      <c r="H21" s="361">
        <f t="shared" ca="1" si="8"/>
        <v>0</v>
      </c>
      <c r="I21" s="361">
        <f t="shared" ca="1" si="9"/>
        <v>0</v>
      </c>
      <c r="J21" s="361">
        <f t="shared" ca="1" si="10"/>
        <v>54400</v>
      </c>
      <c r="K21" s="362">
        <f t="shared" ca="1" si="11"/>
        <v>54400</v>
      </c>
    </row>
    <row r="22" spans="2:11">
      <c r="B22" s="486"/>
      <c r="C22" s="487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501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36" ca="1" si="12">IF(OR(D22="MDU",D22="MDU-KD"),(IF($O$3="RAB NON MDU","PLN KD",G22*F22)),0)</f>
        <v>0</v>
      </c>
      <c r="I22" s="361">
        <f t="shared" ref="I22:I36" ca="1" si="13">IF(D22="HDW",G22*F22,0)</f>
        <v>0</v>
      </c>
      <c r="J22" s="361">
        <f t="shared" ref="J22:J36" ca="1" si="14">IF(D22="JASA",G22*F22,0)</f>
        <v>0</v>
      </c>
      <c r="K22" s="362">
        <f t="shared" ref="K22:K36" ca="1" si="15">SUM(H22:J22)</f>
        <v>0</v>
      </c>
    </row>
    <row r="23" spans="2:11">
      <c r="B23" s="499" t="s">
        <v>505</v>
      </c>
      <c r="C23" s="496" t="s">
        <v>1614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3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2"/>
        <v>0</v>
      </c>
      <c r="I23" s="361">
        <f t="shared" ca="1" si="13"/>
        <v>0</v>
      </c>
      <c r="J23" s="361">
        <f t="shared" ca="1" si="14"/>
        <v>0</v>
      </c>
      <c r="K23" s="362">
        <f t="shared" ca="1" si="15"/>
        <v>0</v>
      </c>
    </row>
    <row r="24" spans="2:11">
      <c r="B24" s="513" t="s">
        <v>1035</v>
      </c>
      <c r="C24" s="516" t="s">
        <v>1621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23">
        <v>1</v>
      </c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2"/>
        <v>0</v>
      </c>
      <c r="I24" s="361">
        <f t="shared" ca="1" si="13"/>
        <v>0</v>
      </c>
      <c r="J24" s="361">
        <f t="shared" ca="1" si="14"/>
        <v>0</v>
      </c>
      <c r="K24" s="362">
        <f t="shared" ca="1" si="15"/>
        <v>0</v>
      </c>
    </row>
    <row r="25" spans="2:11">
      <c r="B25" s="513">
        <v>1</v>
      </c>
      <c r="C25" s="504" t="s">
        <v>532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5">
        <f>F24*1</f>
        <v>1</v>
      </c>
      <c r="G25" s="360">
        <f ca="1">IF(ISERROR(OFFSET('HARGA SATUAN'!$I$6,MATCH(RAB!C25,'HARGA SATUAN'!$C$7:$C$1492,0),0)),0,OFFSET('HARGA SATUAN'!$I$6,MATCH(RAB!C25,'HARGA SATUAN'!$C$7:$C$1492,0),0))</f>
        <v>27845400</v>
      </c>
      <c r="H25" s="361">
        <f t="shared" ca="1" si="12"/>
        <v>27845400</v>
      </c>
      <c r="I25" s="361">
        <f t="shared" ca="1" si="13"/>
        <v>0</v>
      </c>
      <c r="J25" s="361">
        <f t="shared" ca="1" si="14"/>
        <v>0</v>
      </c>
      <c r="K25" s="362">
        <f t="shared" ca="1" si="15"/>
        <v>27845400</v>
      </c>
    </row>
    <row r="26" spans="2:11">
      <c r="B26" s="502">
        <v>2</v>
      </c>
      <c r="C26" s="504" t="s">
        <v>1613</v>
      </c>
      <c r="D26" s="358" t="str">
        <f ca="1">IF(ISERROR(OFFSET('HARGA SATUAN'!$D$6,MATCH(RAB!C26,'HARGA SATUAN'!$C$7:$C$1492,0),0)),"",OFFSET('HARGA SATUAN'!$D$6,MATCH(RAB!C26,'HARGA SATUAN'!$C$7:$C$1492,0),0))</f>
        <v/>
      </c>
      <c r="E26" s="359" t="str">
        <f ca="1">IF(B26="+","Unit",IF(ISERROR(OFFSET('HARGA SATUAN'!$E$6,MATCH(RAB!C26,'HARGA SATUAN'!$C$7:$C$1492,0),0)),"",OFFSET('HARGA SATUAN'!$E$6,MATCH(RAB!C26,'HARGA SATUAN'!$C$7:$C$1492,0),0)))</f>
        <v/>
      </c>
      <c r="F26" s="505"/>
      <c r="G26" s="360">
        <f ca="1">IF(ISERROR(OFFSET('HARGA SATUAN'!$I$6,MATCH(RAB!C26,'HARGA SATUAN'!$C$7:$C$1492,0),0)),0,OFFSET('HARGA SATUAN'!$I$6,MATCH(RAB!C26,'HARGA SATUAN'!$C$7:$C$1492,0),0))</f>
        <v>0</v>
      </c>
      <c r="H26" s="361">
        <f t="shared" ca="1" si="12"/>
        <v>0</v>
      </c>
      <c r="I26" s="361">
        <f t="shared" ca="1" si="13"/>
        <v>0</v>
      </c>
      <c r="J26" s="361">
        <f t="shared" ca="1" si="14"/>
        <v>0</v>
      </c>
      <c r="K26" s="362">
        <f t="shared" ca="1" si="15"/>
        <v>0</v>
      </c>
    </row>
    <row r="27" spans="2:11">
      <c r="B27" s="502"/>
      <c r="C27" s="504" t="s">
        <v>65</v>
      </c>
      <c r="D27" s="358" t="str">
        <f ca="1">IF(ISERROR(OFFSET('HARGA SATUAN'!$D$6,MATCH(RAB!C27,'HARGA SATUAN'!$C$7:$C$1492,0),0)),"",OFFSET('HARGA SATUAN'!$D$6,MATCH(RAB!C27,'HARGA SATUAN'!$C$7:$C$1492,0),0))</f>
        <v>MDU-KD</v>
      </c>
      <c r="E27" s="359" t="str">
        <f ca="1">IF(B27="+","Unit",IF(ISERROR(OFFSET('HARGA SATUAN'!$E$6,MATCH(RAB!C27,'HARGA SATUAN'!$C$7:$C$1492,0),0)),"",OFFSET('HARGA SATUAN'!$E$6,MATCH(RAB!C27,'HARGA SATUAN'!$C$7:$C$1492,0),0)))</f>
        <v>Mtr</v>
      </c>
      <c r="F27" s="505">
        <f>F24*2</f>
        <v>2</v>
      </c>
      <c r="G27" s="360">
        <f ca="1">IF(ISERROR(OFFSET('HARGA SATUAN'!$I$6,MATCH(RAB!C27,'HARGA SATUAN'!$C$7:$C$1492,0),0)),0,OFFSET('HARGA SATUAN'!$I$6,MATCH(RAB!C27,'HARGA SATUAN'!$C$7:$C$1492,0),0))</f>
        <v>14200</v>
      </c>
      <c r="H27" s="361">
        <f t="shared" ca="1" si="12"/>
        <v>28400</v>
      </c>
      <c r="I27" s="361">
        <f t="shared" ca="1" si="13"/>
        <v>0</v>
      </c>
      <c r="J27" s="361">
        <f t="shared" ca="1" si="14"/>
        <v>0</v>
      </c>
      <c r="K27" s="362">
        <f t="shared" ca="1" si="15"/>
        <v>28400</v>
      </c>
    </row>
    <row r="28" spans="2:11">
      <c r="B28" s="513"/>
      <c r="C28" s="504" t="s">
        <v>1622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505">
        <f>F24*2</f>
        <v>2</v>
      </c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12"/>
        <v>0</v>
      </c>
      <c r="I28" s="361">
        <f t="shared" ca="1" si="13"/>
        <v>0</v>
      </c>
      <c r="J28" s="361">
        <f t="shared" ca="1" si="14"/>
        <v>0</v>
      </c>
      <c r="K28" s="362">
        <f t="shared" ca="1" si="15"/>
        <v>0</v>
      </c>
    </row>
    <row r="29" spans="2:11">
      <c r="B29" s="513">
        <v>3</v>
      </c>
      <c r="C29" s="504" t="s">
        <v>207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505">
        <f>F24*1</f>
        <v>1</v>
      </c>
      <c r="G29" s="360">
        <f ca="1">IF(ISERROR(OFFSET('HARGA SATUAN'!$I$6,MATCH(RAB!C29,'HARGA SATUAN'!$C$7:$C$1492,0),0)),0,OFFSET('HARGA SATUAN'!$I$6,MATCH(RAB!C29,'HARGA SATUAN'!$C$7:$C$1492,0),0))</f>
        <v>87000</v>
      </c>
      <c r="H29" s="361">
        <f t="shared" ca="1" si="12"/>
        <v>0</v>
      </c>
      <c r="I29" s="361">
        <f t="shared" ca="1" si="13"/>
        <v>87000</v>
      </c>
      <c r="J29" s="361">
        <f t="shared" ca="1" si="14"/>
        <v>0</v>
      </c>
      <c r="K29" s="362">
        <f t="shared" ca="1" si="15"/>
        <v>87000</v>
      </c>
    </row>
    <row r="30" spans="2:11">
      <c r="B30" s="513">
        <v>4</v>
      </c>
      <c r="C30" s="504" t="s">
        <v>176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5">
        <f>F24*2</f>
        <v>2</v>
      </c>
      <c r="G30" s="360">
        <f ca="1">IF(ISERROR(OFFSET('HARGA SATUAN'!$I$6,MATCH(RAB!C30,'HARGA SATUAN'!$C$7:$C$1492,0),0)),0,OFFSET('HARGA SATUAN'!$I$6,MATCH(RAB!C30,'HARGA SATUAN'!$C$7:$C$1492,0),0))</f>
        <v>404600</v>
      </c>
      <c r="H30" s="361">
        <f t="shared" ca="1" si="12"/>
        <v>0</v>
      </c>
      <c r="I30" s="361">
        <f t="shared" ca="1" si="13"/>
        <v>809200</v>
      </c>
      <c r="J30" s="361">
        <f t="shared" ca="1" si="14"/>
        <v>0</v>
      </c>
      <c r="K30" s="362">
        <f t="shared" ca="1" si="15"/>
        <v>809200</v>
      </c>
    </row>
    <row r="31" spans="2:11">
      <c r="B31" s="513">
        <v>5</v>
      </c>
      <c r="C31" s="504" t="s">
        <v>184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5">
        <f>F24*3</f>
        <v>3</v>
      </c>
      <c r="G31" s="360">
        <f ca="1">IF(ISERROR(OFFSET('HARGA SATUAN'!$I$6,MATCH(RAB!C31,'HARGA SATUAN'!$C$7:$C$1492,0),0)),0,OFFSET('HARGA SATUAN'!$I$6,MATCH(RAB!C31,'HARGA SATUAN'!$C$7:$C$1492,0),0))</f>
        <v>15900</v>
      </c>
      <c r="H31" s="361">
        <f t="shared" ca="1" si="12"/>
        <v>0</v>
      </c>
      <c r="I31" s="361">
        <f t="shared" ca="1" si="13"/>
        <v>47700</v>
      </c>
      <c r="J31" s="361">
        <f t="shared" ca="1" si="14"/>
        <v>0</v>
      </c>
      <c r="K31" s="362">
        <f t="shared" ca="1" si="15"/>
        <v>47700</v>
      </c>
    </row>
    <row r="32" spans="2:11">
      <c r="B32" s="513">
        <v>6</v>
      </c>
      <c r="C32" s="504" t="s">
        <v>187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5">
        <f>F24*2</f>
        <v>2</v>
      </c>
      <c r="G32" s="360">
        <f ca="1">IF(ISERROR(OFFSET('HARGA SATUAN'!$I$6,MATCH(RAB!C32,'HARGA SATUAN'!$C$7:$C$1492,0),0)),0,OFFSET('HARGA SATUAN'!$I$6,MATCH(RAB!C32,'HARGA SATUAN'!$C$7:$C$1492,0),0))</f>
        <v>17100</v>
      </c>
      <c r="H32" s="361">
        <f t="shared" ref="H32" ca="1" si="16">IF(OR(D32="MDU",D32="MDU-KD"),(IF($O$3="RAB NON MDU","PLN KD",G32*F32)),0)</f>
        <v>0</v>
      </c>
      <c r="I32" s="361">
        <f t="shared" ref="I32" ca="1" si="17">IF(D32="HDW",G32*F32,0)</f>
        <v>34200</v>
      </c>
      <c r="J32" s="361">
        <f t="shared" ref="J32" ca="1" si="18">IF(D32="JASA",G32*F32,0)</f>
        <v>0</v>
      </c>
      <c r="K32" s="362">
        <f t="shared" ref="K32" ca="1" si="19">SUM(H32:J32)</f>
        <v>34200</v>
      </c>
    </row>
    <row r="33" spans="2:11">
      <c r="B33" s="513">
        <v>7</v>
      </c>
      <c r="C33" s="109" t="s">
        <v>1574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5">
        <v>4</v>
      </c>
      <c r="G33" s="360">
        <f ca="1">IF(ISERROR(OFFSET('HARGA SATUAN'!$I$6,MATCH(RAB!C33,'HARGA SATUAN'!$C$7:$C$1492,0),0)),0,OFFSET('HARGA SATUAN'!$I$6,MATCH(RAB!C33,'HARGA SATUAN'!$C$7:$C$1492,0),0))</f>
        <v>73300</v>
      </c>
      <c r="H33" s="361">
        <f t="shared" ref="H33" ca="1" si="20">IF(OR(D33="MDU",D33="MDU-KD"),(IF($O$3="RAB NON MDU","PLN KD",G33*F33)),0)</f>
        <v>0</v>
      </c>
      <c r="I33" s="361">
        <f t="shared" ref="I33" ca="1" si="21">IF(D33="HDW",G33*F33,0)</f>
        <v>293200</v>
      </c>
      <c r="J33" s="361">
        <f t="shared" ref="J33" ca="1" si="22">IF(D33="JASA",G33*F33,0)</f>
        <v>0</v>
      </c>
      <c r="K33" s="362">
        <f t="shared" ref="K33" ca="1" si="23">SUM(H33:J33)</f>
        <v>293200</v>
      </c>
    </row>
    <row r="34" spans="2:11">
      <c r="B34" s="513">
        <v>8</v>
      </c>
      <c r="C34" s="504" t="s">
        <v>149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Set</v>
      </c>
      <c r="F34" s="505">
        <f>F24*1</f>
        <v>1</v>
      </c>
      <c r="G34" s="360">
        <f ca="1">IF(ISERROR(OFFSET('HARGA SATUAN'!$I$6,MATCH(RAB!C34,'HARGA SATUAN'!$C$7:$C$1492,0),0)),0,OFFSET('HARGA SATUAN'!$I$6,MATCH(RAB!C34,'HARGA SATUAN'!$C$7:$C$1492,0),0))</f>
        <v>67800</v>
      </c>
      <c r="H34" s="361">
        <f t="shared" ca="1" si="12"/>
        <v>0</v>
      </c>
      <c r="I34" s="361">
        <f t="shared" ca="1" si="13"/>
        <v>67800</v>
      </c>
      <c r="J34" s="361">
        <f t="shared" ca="1" si="14"/>
        <v>0</v>
      </c>
      <c r="K34" s="362">
        <f t="shared" ca="1" si="15"/>
        <v>67800</v>
      </c>
    </row>
    <row r="35" spans="2:11">
      <c r="B35" s="513">
        <v>9</v>
      </c>
      <c r="C35" s="504" t="s">
        <v>32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Mtr</v>
      </c>
      <c r="F35" s="505">
        <f>F24*2</f>
        <v>2</v>
      </c>
      <c r="G35" s="360">
        <f ca="1">IF(ISERROR(OFFSET('HARGA SATUAN'!$I$6,MATCH(RAB!C35,'HARGA SATUAN'!$C$7:$C$1492,0),0)),0,OFFSET('HARGA SATUAN'!$I$6,MATCH(RAB!C35,'HARGA SATUAN'!$C$7:$C$1492,0),0))</f>
        <v>30000</v>
      </c>
      <c r="H35" s="361">
        <f t="shared" ca="1" si="12"/>
        <v>0</v>
      </c>
      <c r="I35" s="361">
        <f t="shared" ca="1" si="13"/>
        <v>60000</v>
      </c>
      <c r="J35" s="361">
        <f t="shared" ca="1" si="14"/>
        <v>0</v>
      </c>
      <c r="K35" s="362">
        <f t="shared" ca="1" si="15"/>
        <v>60000</v>
      </c>
    </row>
    <row r="36" spans="2:11">
      <c r="B36" s="513">
        <v>10</v>
      </c>
      <c r="C36" s="504" t="s">
        <v>781</v>
      </c>
      <c r="D36" s="358" t="str">
        <f ca="1">IF(ISERROR(OFFSET('HARGA SATUAN'!$D$6,MATCH(RAB!C36,'HARGA SATUAN'!$C$7:$C$1492,0),0)),"",OFFSET('HARGA SATUAN'!$D$6,MATCH(RAB!C36,'HARGA SATUAN'!$C$7:$C$1492,0),0))</f>
        <v>JASA</v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505">
        <f>F24*1</f>
        <v>1</v>
      </c>
      <c r="G36" s="360">
        <f ca="1">IF(ISERROR(OFFSET('HARGA SATUAN'!$I$6,MATCH(RAB!C36,'HARGA SATUAN'!$C$7:$C$1492,0),0)),0,OFFSET('HARGA SATUAN'!$I$6,MATCH(RAB!C36,'HARGA SATUAN'!$C$7:$C$1492,0),0))</f>
        <v>346400</v>
      </c>
      <c r="H36" s="361">
        <f t="shared" ca="1" si="12"/>
        <v>0</v>
      </c>
      <c r="I36" s="361">
        <f t="shared" ca="1" si="13"/>
        <v>0</v>
      </c>
      <c r="J36" s="361">
        <f t="shared" ca="1" si="14"/>
        <v>346400</v>
      </c>
      <c r="K36" s="362">
        <f t="shared" ca="1" si="15"/>
        <v>346400</v>
      </c>
    </row>
    <row r="37" spans="2:11">
      <c r="B37" s="499"/>
      <c r="C37" s="496"/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500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ref="H37" ca="1" si="24">IF(OR(D37="MDU",D37="MDU-KD"),(IF($O$3="RAB NON MDU","PLN KD",G37*F37)),0)</f>
        <v>0</v>
      </c>
      <c r="I37" s="361">
        <f t="shared" ref="I37" ca="1" si="25">IF(D37="HDW",G37*F37,0)</f>
        <v>0</v>
      </c>
      <c r="J37" s="361">
        <f t="shared" ref="J37" ca="1" si="26">IF(D37="JASA",G37*F37,0)</f>
        <v>0</v>
      </c>
      <c r="K37" s="362">
        <f t="shared" ref="K37" ca="1" si="27">SUM(H37:J37)</f>
        <v>0</v>
      </c>
    </row>
    <row r="38" spans="2:11">
      <c r="B38" s="499" t="s">
        <v>524</v>
      </c>
      <c r="C38" s="496" t="s">
        <v>1616</v>
      </c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/>
      </c>
      <c r="F38" s="500"/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ref="H38" ca="1" si="28">IF(OR(D38="MDU",D38="MDU-KD"),(IF($O$3="RAB NON MDU","PLN KD",G38*F38)),0)</f>
        <v>0</v>
      </c>
      <c r="I38" s="361">
        <f t="shared" ref="I38" ca="1" si="29">IF(D38="HDW",G38*F38,0)</f>
        <v>0</v>
      </c>
      <c r="J38" s="361">
        <f t="shared" ref="J38" ca="1" si="30">IF(D38="JASA",G38*F38,0)</f>
        <v>0</v>
      </c>
      <c r="K38" s="362">
        <f t="shared" ref="K38" ca="1" si="31">SUM(H38:J38)</f>
        <v>0</v>
      </c>
    </row>
    <row r="39" spans="2:11">
      <c r="B39" s="502" t="s">
        <v>1035</v>
      </c>
      <c r="C39" s="511" t="s">
        <v>1617</v>
      </c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>Unit</v>
      </c>
      <c r="F39" s="500">
        <v>2</v>
      </c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ref="H39:H50" ca="1" si="32">IF(OR(D39="MDU",D39="MDU-KD"),(IF($O$3="RAB NON MDU","PLN KD",G39*F39)),0)</f>
        <v>0</v>
      </c>
      <c r="I39" s="361">
        <f t="shared" ref="I39:I50" ca="1" si="33">IF(D39="HDW",G39*F39,0)</f>
        <v>0</v>
      </c>
      <c r="J39" s="361">
        <f t="shared" ref="J39:J50" ca="1" si="34">IF(D39="JASA",G39*F39,0)</f>
        <v>0</v>
      </c>
      <c r="K39" s="362">
        <f t="shared" ref="K39:K50" ca="1" si="35">SUM(H39:J39)</f>
        <v>0</v>
      </c>
    </row>
    <row r="40" spans="2:11">
      <c r="B40" s="502">
        <v>1</v>
      </c>
      <c r="C40" s="510" t="s">
        <v>29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00">
        <f>F39*1</f>
        <v>2</v>
      </c>
      <c r="G40" s="360">
        <f ca="1">IF(ISERROR(OFFSET('HARGA SATUAN'!$I$6,MATCH(RAB!C40,'HARGA SATUAN'!$C$7:$C$1492,0),0)),0,OFFSET('HARGA SATUAN'!$I$6,MATCH(RAB!C40,'HARGA SATUAN'!$C$7:$C$1492,0),0))</f>
        <v>185200</v>
      </c>
      <c r="H40" s="361">
        <f t="shared" ca="1" si="32"/>
        <v>0</v>
      </c>
      <c r="I40" s="361">
        <f t="shared" ca="1" si="33"/>
        <v>370400</v>
      </c>
      <c r="J40" s="361">
        <f t="shared" ca="1" si="34"/>
        <v>0</v>
      </c>
      <c r="K40" s="362">
        <f t="shared" ca="1" si="35"/>
        <v>370400</v>
      </c>
    </row>
    <row r="41" spans="2:11">
      <c r="B41" s="507">
        <v>2</v>
      </c>
      <c r="C41" s="508" t="s">
        <v>30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00">
        <f>F39*1</f>
        <v>2</v>
      </c>
      <c r="G41" s="360">
        <f ca="1">IF(ISERROR(OFFSET('HARGA SATUAN'!$I$6,MATCH(RAB!C41,'HARGA SATUAN'!$C$7:$C$1492,0),0)),0,OFFSET('HARGA SATUAN'!$I$6,MATCH(RAB!C41,'HARGA SATUAN'!$C$7:$C$1492,0),0))</f>
        <v>47459</v>
      </c>
      <c r="H41" s="361">
        <f t="shared" ca="1" si="32"/>
        <v>0</v>
      </c>
      <c r="I41" s="361">
        <f t="shared" ca="1" si="33"/>
        <v>94918</v>
      </c>
      <c r="J41" s="361">
        <f t="shared" ca="1" si="34"/>
        <v>0</v>
      </c>
      <c r="K41" s="362">
        <f t="shared" ca="1" si="35"/>
        <v>94918</v>
      </c>
    </row>
    <row r="42" spans="2:11">
      <c r="B42" s="507">
        <v>3</v>
      </c>
      <c r="C42" s="508" t="s">
        <v>31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00">
        <f>F39*1</f>
        <v>2</v>
      </c>
      <c r="G42" s="360">
        <f ca="1">IF(ISERROR(OFFSET('HARGA SATUAN'!$I$6,MATCH(RAB!C42,'HARGA SATUAN'!$C$7:$C$1492,0),0)),0,OFFSET('HARGA SATUAN'!$I$6,MATCH(RAB!C42,'HARGA SATUAN'!$C$7:$C$1492,0),0))</f>
        <v>4880</v>
      </c>
      <c r="H42" s="361">
        <f t="shared" ca="1" si="32"/>
        <v>0</v>
      </c>
      <c r="I42" s="361">
        <f t="shared" ca="1" si="33"/>
        <v>9760</v>
      </c>
      <c r="J42" s="361">
        <f t="shared" ca="1" si="34"/>
        <v>0</v>
      </c>
      <c r="K42" s="362">
        <f t="shared" ca="1" si="35"/>
        <v>9760</v>
      </c>
    </row>
    <row r="43" spans="2:11">
      <c r="B43" s="507">
        <v>4</v>
      </c>
      <c r="C43" s="508" t="s">
        <v>32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Mtr</v>
      </c>
      <c r="F43" s="500">
        <f>F39*10</f>
        <v>20</v>
      </c>
      <c r="G43" s="360">
        <f ca="1">IF(ISERROR(OFFSET('HARGA SATUAN'!$I$6,MATCH(RAB!C43,'HARGA SATUAN'!$C$7:$C$1492,0),0)),0,OFFSET('HARGA SATUAN'!$I$6,MATCH(RAB!C43,'HARGA SATUAN'!$C$7:$C$1492,0),0))</f>
        <v>30000</v>
      </c>
      <c r="H43" s="361">
        <f t="shared" ca="1" si="32"/>
        <v>0</v>
      </c>
      <c r="I43" s="361">
        <f t="shared" ca="1" si="33"/>
        <v>600000</v>
      </c>
      <c r="J43" s="361">
        <f t="shared" ca="1" si="34"/>
        <v>0</v>
      </c>
      <c r="K43" s="362">
        <f t="shared" ca="1" si="35"/>
        <v>600000</v>
      </c>
    </row>
    <row r="44" spans="2:11">
      <c r="B44" s="507">
        <v>5</v>
      </c>
      <c r="C44" s="508" t="s">
        <v>33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00">
        <f>F39*2</f>
        <v>4</v>
      </c>
      <c r="G44" s="360">
        <f ca="1">IF(ISERROR(OFFSET('HARGA SATUAN'!$I$6,MATCH(RAB!C44,'HARGA SATUAN'!$C$7:$C$1492,0),0)),0,OFFSET('HARGA SATUAN'!$I$6,MATCH(RAB!C44,'HARGA SATUAN'!$C$7:$C$1492,0),0))</f>
        <v>9500</v>
      </c>
      <c r="H44" s="361">
        <f t="shared" ca="1" si="32"/>
        <v>0</v>
      </c>
      <c r="I44" s="361">
        <f t="shared" ca="1" si="33"/>
        <v>38000</v>
      </c>
      <c r="J44" s="361">
        <f t="shared" ca="1" si="34"/>
        <v>0</v>
      </c>
      <c r="K44" s="362">
        <f t="shared" ca="1" si="35"/>
        <v>38000</v>
      </c>
    </row>
    <row r="45" spans="2:11">
      <c r="B45" s="507">
        <v>6</v>
      </c>
      <c r="C45" s="508" t="s">
        <v>34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00">
        <f>F39*5.5</f>
        <v>11</v>
      </c>
      <c r="G45" s="360">
        <f ca="1">IF(ISERROR(OFFSET('HARGA SATUAN'!$I$6,MATCH(RAB!C45,'HARGA SATUAN'!$C$7:$C$1492,0),0)),0,OFFSET('HARGA SATUAN'!$I$6,MATCH(RAB!C45,'HARGA SATUAN'!$C$7:$C$1492,0),0))</f>
        <v>6100</v>
      </c>
      <c r="H45" s="361">
        <f t="shared" ca="1" si="32"/>
        <v>0</v>
      </c>
      <c r="I45" s="361">
        <f t="shared" ca="1" si="33"/>
        <v>67100</v>
      </c>
      <c r="J45" s="361">
        <f t="shared" ca="1" si="34"/>
        <v>0</v>
      </c>
      <c r="K45" s="362">
        <f t="shared" ca="1" si="35"/>
        <v>67100</v>
      </c>
    </row>
    <row r="46" spans="2:11">
      <c r="B46" s="507">
        <v>7</v>
      </c>
      <c r="C46" s="508" t="s">
        <v>35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0">
        <f>F39*6</f>
        <v>12</v>
      </c>
      <c r="G46" s="360">
        <f ca="1">IF(ISERROR(OFFSET('HARGA SATUAN'!$I$6,MATCH(RAB!C46,'HARGA SATUAN'!$C$7:$C$1492,0),0)),0,OFFSET('HARGA SATUAN'!$I$6,MATCH(RAB!C46,'HARGA SATUAN'!$C$7:$C$1492,0),0))</f>
        <v>2300</v>
      </c>
      <c r="H46" s="361">
        <f t="shared" ca="1" si="32"/>
        <v>0</v>
      </c>
      <c r="I46" s="361">
        <f t="shared" ca="1" si="33"/>
        <v>27600</v>
      </c>
      <c r="J46" s="361">
        <f t="shared" ca="1" si="34"/>
        <v>0</v>
      </c>
      <c r="K46" s="362">
        <f t="shared" ca="1" si="35"/>
        <v>27600</v>
      </c>
    </row>
    <row r="47" spans="2:11">
      <c r="B47" s="507">
        <v>8</v>
      </c>
      <c r="C47" s="508" t="s">
        <v>1618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Mtr</v>
      </c>
      <c r="F47" s="500">
        <f>F39*4.8</f>
        <v>9.6</v>
      </c>
      <c r="G47" s="360">
        <f ca="1">IF(ISERROR(OFFSET('HARGA SATUAN'!$I$6,MATCH(RAB!C47,'HARGA SATUAN'!$C$7:$C$1492,0),0)),0,OFFSET('HARGA SATUAN'!$I$6,MATCH(RAB!C47,'HARGA SATUAN'!$C$7:$C$1492,0),0))</f>
        <v>23310</v>
      </c>
      <c r="H47" s="361">
        <f t="shared" ca="1" si="32"/>
        <v>0</v>
      </c>
      <c r="I47" s="361">
        <f t="shared" ca="1" si="33"/>
        <v>223776</v>
      </c>
      <c r="J47" s="361">
        <f t="shared" ca="1" si="34"/>
        <v>0</v>
      </c>
      <c r="K47" s="362">
        <f t="shared" ca="1" si="35"/>
        <v>223776</v>
      </c>
    </row>
    <row r="48" spans="2:11">
      <c r="B48" s="507">
        <v>9</v>
      </c>
      <c r="C48" s="508" t="s">
        <v>736</v>
      </c>
      <c r="D48" s="358" t="str">
        <f ca="1">IF(ISERROR(OFFSET('HARGA SATUAN'!$D$6,MATCH(RAB!C48,'HARGA SATUAN'!$C$7:$C$1492,0),0)),"",OFFSET('HARGA SATUAN'!$D$6,MATCH(RAB!C48,'HARGA SATUAN'!$C$7:$C$1492,0),0))</f>
        <v>JASA</v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500">
        <f>F39*1</f>
        <v>2</v>
      </c>
      <c r="G48" s="360">
        <f ca="1">IF(ISERROR(OFFSET('HARGA SATUAN'!$I$6,MATCH(RAB!C48,'HARGA SATUAN'!$C$7:$C$1492,0),0)),0,OFFSET('HARGA SATUAN'!$I$6,MATCH(RAB!C48,'HARGA SATUAN'!$C$7:$C$1492,0),0))</f>
        <v>65400</v>
      </c>
      <c r="H48" s="361">
        <f t="shared" ca="1" si="32"/>
        <v>0</v>
      </c>
      <c r="I48" s="361">
        <f t="shared" ca="1" si="33"/>
        <v>0</v>
      </c>
      <c r="J48" s="361">
        <f t="shared" ca="1" si="34"/>
        <v>130800</v>
      </c>
      <c r="K48" s="362">
        <f t="shared" ca="1" si="35"/>
        <v>130800</v>
      </c>
    </row>
    <row r="49" spans="2:13">
      <c r="B49" s="507"/>
      <c r="C49" s="508"/>
      <c r="D49" s="358"/>
      <c r="E49" s="359"/>
      <c r="F49" s="500"/>
      <c r="G49" s="360"/>
      <c r="H49" s="361"/>
      <c r="I49" s="361"/>
      <c r="J49" s="361"/>
      <c r="K49" s="362"/>
    </row>
    <row r="50" spans="2:13">
      <c r="B50" s="367"/>
      <c r="C50" s="109"/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/>
      </c>
      <c r="F50" s="500"/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ca="1" si="32"/>
        <v>0</v>
      </c>
      <c r="I50" s="361">
        <f t="shared" ca="1" si="33"/>
        <v>0</v>
      </c>
      <c r="J50" s="361">
        <f t="shared" ca="1" si="34"/>
        <v>0</v>
      </c>
      <c r="K50" s="362">
        <f t="shared" ca="1" si="35"/>
        <v>0</v>
      </c>
    </row>
    <row r="51" spans="2:13">
      <c r="B51" s="368"/>
      <c r="C51" s="369" t="s">
        <v>475</v>
      </c>
      <c r="D51" s="358" t="str">
        <f ca="1">IF(ISERROR(OFFSET('HARGA SATUAN'!$D$6,MATCH(RAB!C51,'HARGA SATUAN'!$C$7:$C$1492,0),0)),"",OFFSET('HARGA SATUAN'!$D$6,MATCH(RAB!C51,'HARGA SATUAN'!$C$7:$C$1492,0),0))</f>
        <v/>
      </c>
      <c r="E51" s="359" t="str">
        <f ca="1">IF(B51="+","Unit",IF(ISERROR(OFFSET('HARGA SATUAN'!$E$6,MATCH(RAB!C51,'HARGA SATUAN'!$C$7:$C$1492,0),0)),"",OFFSET('HARGA SATUAN'!$E$6,MATCH(RAB!C51,'HARGA SATUAN'!$C$7:$C$1492,0),0)))</f>
        <v/>
      </c>
      <c r="F51" s="472"/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ref="H51" ca="1" si="36">IF(OR(D51="MDU",D51="MDU-KD"),(IF($O$3="RAB NON MDU","PLN KD",G51*F51)),0)</f>
        <v>0</v>
      </c>
      <c r="I51" s="361">
        <f t="shared" ref="I51" ca="1" si="37">IF(D51="HDW",G51*F51,0)</f>
        <v>0</v>
      </c>
      <c r="J51" s="361">
        <f t="shared" ref="J51" ca="1" si="38">IF(D51="JASA",G51*F51,0)</f>
        <v>0</v>
      </c>
      <c r="K51" s="362">
        <f t="shared" ref="K51" ca="1" si="39">SUM(H51:J51)</f>
        <v>0</v>
      </c>
    </row>
    <row r="52" spans="2:13">
      <c r="B52" s="371">
        <v>1</v>
      </c>
      <c r="C52" s="372" t="s">
        <v>1091</v>
      </c>
      <c r="D52" s="373" t="str">
        <f ca="1">IF(ISERROR(OFFSET('HARGA SATUAN'!$D$6,MATCH(RAB!C52,'HARGA SATUAN'!$C$7:$C$1492,0),0)),"",OFFSET('HARGA SATUAN'!$D$6,MATCH(RAB!C52,'HARGA SATUAN'!$C$7:$C$1492,0),0))</f>
        <v>JASA</v>
      </c>
      <c r="E52" s="374" t="str">
        <f ca="1">IF(ISERROR(OFFSET('HARGA SATUAN'!$E$6,MATCH(RAB!C52,'HARGA SATUAN'!$C$7:$C$1492,0),0)),"",OFFSET('HARGA SATUAN'!$E$6,MATCH(RAB!C52,'HARGA SATUAN'!$C$7:$C$1492,0),0))</f>
        <v>Lot</v>
      </c>
      <c r="F52" s="375">
        <v>1</v>
      </c>
      <c r="G52" s="376">
        <f ca="1">IF(ISERROR(OFFSET('HARGA SATUAN'!$I$6,MATCH(RAB!C52,'HARGA SATUAN'!$C$7:$C$1492,0),0)),0,OFFSET('HARGA SATUAN'!$I$6,MATCH(RAB!C52,'HARGA SATUAN'!$C$7:$C$1492,0),0))</f>
        <v>2.5000000000000001E-2</v>
      </c>
      <c r="H52" s="377"/>
      <c r="I52" s="377"/>
      <c r="J52" s="377">
        <f ca="1">2.5%*(SUM(K14:K51))</f>
        <v>831170.10000000009</v>
      </c>
      <c r="K52" s="378">
        <f ca="1">SUM(H52:J52)</f>
        <v>831170.10000000009</v>
      </c>
    </row>
    <row r="53" spans="2:13">
      <c r="B53" s="379"/>
      <c r="C53" s="380"/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IF(ISERROR(OFFSET('HARGA SATUAN'!$E$6,MATCH(RAB!C53,'HARGA SATUAN'!$C$7:$C$1492,0),0)),"",OFFSET('HARGA SATUAN'!$E$6,MATCH(RAB!C53,'HARGA SATUAN'!$C$7:$C$1492,0),0))</f>
        <v/>
      </c>
      <c r="F53" s="370"/>
      <c r="G53" s="360" t="str">
        <f ca="1">IF(ISERROR(OFFSET('HARGA SATUAN'!$I$6,MATCH(RAB!C53,'HARGA SATUAN'!$C$7:$C$1492,0),0)),"",OFFSET('HARGA SATUAN'!$I$6,MATCH(RAB!C53,'HARGA SATUAN'!$C$7:$C$1492,0),0))</f>
        <v/>
      </c>
      <c r="H53" s="361">
        <f ca="1">IF(OR(D53="MDU",D53="MDU-KD"),IF(G53="PLN",0,G53*F53),0)</f>
        <v>0</v>
      </c>
      <c r="I53" s="361">
        <f ca="1">IF(D53="HDW",IF(G53="PLN",0,G53*F53),0)</f>
        <v>0</v>
      </c>
      <c r="J53" s="361">
        <f ca="1">IF(D53="JASA",IF(G53="PLN",0,G53*F53),0)</f>
        <v>0</v>
      </c>
      <c r="K53" s="362">
        <f ca="1">SUM(H53:J53)</f>
        <v>0</v>
      </c>
    </row>
    <row r="54" spans="2:13" ht="15.75" thickBot="1">
      <c r="B54" s="381"/>
      <c r="C54" s="382"/>
      <c r="D54" s="383"/>
      <c r="E54" s="384"/>
      <c r="F54" s="384"/>
      <c r="G54" s="384"/>
      <c r="H54" s="385"/>
      <c r="I54" s="385"/>
      <c r="J54" s="385"/>
      <c r="K54" s="386"/>
    </row>
    <row r="55" spans="2:13">
      <c r="B55" s="387"/>
      <c r="C55" s="616" t="s">
        <v>1008</v>
      </c>
      <c r="D55" s="616"/>
      <c r="E55" s="616"/>
      <c r="F55" s="616"/>
      <c r="G55" s="388" t="s">
        <v>9</v>
      </c>
      <c r="H55" s="389">
        <f ca="1">SUM(H14:H53)</f>
        <v>29884550</v>
      </c>
      <c r="I55" s="389">
        <f ca="1">SUM(I14:I53)</f>
        <v>2830654</v>
      </c>
      <c r="J55" s="389">
        <f ca="1">SUM(J14:J53)</f>
        <v>1362770.1</v>
      </c>
      <c r="K55" s="389">
        <f ca="1">SUM(K14:K53)</f>
        <v>34077974.100000001</v>
      </c>
    </row>
    <row r="56" spans="2:13">
      <c r="B56" s="390"/>
      <c r="C56" s="633" t="s">
        <v>1457</v>
      </c>
      <c r="D56" s="633"/>
      <c r="E56" s="633"/>
      <c r="F56" s="633"/>
      <c r="G56" s="391" t="s">
        <v>9</v>
      </c>
      <c r="H56" s="392">
        <f ca="1">H55*0.11</f>
        <v>3287300.5</v>
      </c>
      <c r="I56" s="392">
        <f ca="1">I55*0.11</f>
        <v>311371.94</v>
      </c>
      <c r="J56" s="392">
        <f ca="1">J55*0.11</f>
        <v>149904.71100000001</v>
      </c>
      <c r="K56" s="392">
        <f ca="1">K55*0.11</f>
        <v>3748577.1510000001</v>
      </c>
    </row>
    <row r="57" spans="2:13" ht="15.75" thickBot="1">
      <c r="B57" s="390"/>
      <c r="C57" s="630" t="s">
        <v>463</v>
      </c>
      <c r="D57" s="630"/>
      <c r="E57" s="630"/>
      <c r="F57" s="630"/>
      <c r="G57" s="393" t="s">
        <v>9</v>
      </c>
      <c r="H57" s="394">
        <f ca="1">SUM(H55:H56)</f>
        <v>33171850.5</v>
      </c>
      <c r="I57" s="394">
        <f ca="1">SUM(I55:I56)</f>
        <v>3142025.94</v>
      </c>
      <c r="J57" s="393">
        <f ca="1">SUM(J55:J56)</f>
        <v>1512674.8110000002</v>
      </c>
      <c r="K57" s="393">
        <f ca="1">SUM(K55:K56)</f>
        <v>37826551.251000002</v>
      </c>
      <c r="M57" s="477"/>
    </row>
    <row r="58" spans="2:13">
      <c r="B58" s="634" t="str">
        <f ca="1">"Terbilang : "&amp;PROPER(IF(K57=0,"nol",IF(K57&lt;0,"minus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IF(--MID(TEXT(ABS(K57),"000000000000000"),1,3)=0,"",MID(TEXT(ABS(K57),"000000000000000"),1,1)&amp;" ratus "&amp;MID(TEXT(ABS(K57),"000000000000000"),2,1)&amp;" puluh "&amp;MID(TEXT(ABS(K57),"000000000000000"),3,1)&amp;" trilyun ")&amp; IF(--MID(TEXT(ABS(K57),"000000000000000"),4,3)=0,"",MID(TEXT(ABS(K57),"000000000000000"),4,1)&amp;" ratus "&amp;MID(TEXT(ABS(K57),"000000000000000"),5,1)&amp;" puluh "&amp;MID(TEXT(ABS(K57),"000000000000000"),6,1)&amp;" milyar ")&amp; IF(--MID(TEXT(ABS(K57),"000000000000000"),7,3)=0,"",MID(TEXT(ABS(K57),"000000000000000"),7,1)&amp;" ratus "&amp;MID(TEXT(ABS(K57),"000000000000000"),8,1)&amp;" puluh "&amp;MID(TEXT(ABS(K57),"000000000000000"),9,1)&amp;" juta ")&amp; IF(--MID(TEXT(ABS(K57),"000000000000000"),10,3)=0,"",IF(--MID(TEXT(ABS(K57),"000000000000000"),10,3)=1,"*",MID(TEXT(ABS(K57),"000000000000000"),10,1)&amp;" ratus "&amp;MID(TEXT(ABS(K57),"000000000000000"),11,1)&amp;" puluh ")&amp;MID(TEXT(ABS(K57),"000000000000000"),12,1)&amp;" ribu ")&amp; IF(--MID(TEXT(ABS(K57),"000000000000000"),13,3)=0,"",MID(TEXT(ABS(K57),"000000000000000"),13,1)&amp;" ratus "&amp;MID(TEXT(ABS(K57),"000000000000000"),14,1)&amp;" puluh "&amp;MID(TEXT(ABS(K57),"000000000000000"),15,1)),1,"satu"),2,"dua"),3,"tiga"),4,"empat"),5,"lima"),6,"enam"),7,"tujuh"),8,"delapan"),9,"sembilan"),"0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Tujuh Juta Delapan Ratus Dua Puluh Enam Ribu Lima Ratus Lima Puluh Satu Rupiah</v>
      </c>
      <c r="C58" s="635"/>
      <c r="D58" s="635"/>
      <c r="E58" s="635"/>
      <c r="F58" s="635"/>
      <c r="G58" s="635"/>
      <c r="H58" s="635"/>
      <c r="I58" s="635"/>
      <c r="J58" s="635"/>
      <c r="K58" s="636"/>
      <c r="M58" s="506"/>
    </row>
    <row r="59" spans="2:13">
      <c r="B59" s="637"/>
      <c r="C59" s="638"/>
      <c r="D59" s="638"/>
      <c r="E59" s="638"/>
      <c r="F59" s="638"/>
      <c r="G59" s="638"/>
      <c r="H59" s="638"/>
      <c r="I59" s="638"/>
      <c r="J59" s="638"/>
      <c r="K59" s="639"/>
    </row>
    <row r="60" spans="2:13" ht="15.75" thickBot="1">
      <c r="B60" s="395" t="str">
        <f>"Harga yang dipakai adalah "&amp;'HARGA SATUAN'!I5&amp;""</f>
        <v>Harga yang dipakai adalah RAB HSS 2023</v>
      </c>
      <c r="C60" s="396"/>
      <c r="D60" s="397"/>
      <c r="E60" s="397"/>
      <c r="F60" s="397"/>
      <c r="G60" s="398"/>
      <c r="H60" s="398"/>
      <c r="I60" s="398"/>
      <c r="J60" s="398"/>
      <c r="K60" s="399"/>
    </row>
    <row r="61" spans="2:13">
      <c r="C61" s="400"/>
      <c r="E61" s="402"/>
      <c r="F61" s="402"/>
      <c r="G61" s="402"/>
    </row>
    <row r="62" spans="2:13">
      <c r="C62" s="337"/>
      <c r="E62" s="402"/>
      <c r="F62" s="402"/>
      <c r="G62" s="402"/>
      <c r="H62" s="640"/>
      <c r="I62" s="640"/>
      <c r="J62" s="641"/>
      <c r="K62" s="641"/>
    </row>
    <row r="63" spans="2:13">
      <c r="C63" s="337"/>
      <c r="E63" s="402"/>
      <c r="F63" s="402"/>
      <c r="G63" s="402"/>
      <c r="H63" s="403"/>
      <c r="I63" s="629" t="s">
        <v>1619</v>
      </c>
      <c r="J63" s="629"/>
      <c r="K63" s="629"/>
    </row>
    <row r="64" spans="2:13">
      <c r="C64" s="337"/>
      <c r="E64" s="402"/>
      <c r="F64" s="402"/>
      <c r="G64" s="402"/>
      <c r="H64" s="403"/>
      <c r="I64" s="629" t="s">
        <v>1609</v>
      </c>
      <c r="J64" s="629"/>
      <c r="K64" s="629"/>
    </row>
    <row r="65" spans="3:11">
      <c r="C65" s="337"/>
      <c r="E65" s="402"/>
      <c r="F65" s="402"/>
      <c r="G65" s="402"/>
      <c r="H65" s="404"/>
      <c r="I65" s="405"/>
      <c r="J65" s="405"/>
      <c r="K65" s="405"/>
    </row>
    <row r="66" spans="3:11">
      <c r="C66" s="337"/>
      <c r="E66" s="402"/>
      <c r="F66" s="402"/>
      <c r="G66" s="402"/>
      <c r="H66" s="404"/>
      <c r="I66" s="404"/>
      <c r="J66" s="404"/>
      <c r="K66" s="404"/>
    </row>
    <row r="67" spans="3:11">
      <c r="C67" s="337"/>
      <c r="E67" s="402"/>
      <c r="F67" s="402"/>
      <c r="G67" s="402"/>
      <c r="H67" s="404"/>
      <c r="I67" s="404"/>
      <c r="J67" s="404"/>
      <c r="K67" s="404"/>
    </row>
    <row r="68" spans="3:11">
      <c r="C68" s="337"/>
      <c r="E68" s="402"/>
      <c r="F68" s="402"/>
      <c r="G68" s="402"/>
      <c r="H68" s="404"/>
      <c r="I68" s="404"/>
      <c r="J68" s="404"/>
      <c r="K68" s="404"/>
    </row>
    <row r="69" spans="3:11">
      <c r="C69" s="337"/>
      <c r="E69" s="402"/>
      <c r="F69" s="402"/>
      <c r="G69" s="402"/>
      <c r="H69" s="406"/>
      <c r="I69" s="629" t="s">
        <v>1611</v>
      </c>
      <c r="J69" s="629"/>
      <c r="K69" s="629"/>
    </row>
    <row r="70" spans="3:11">
      <c r="C70" s="400"/>
      <c r="E70" s="402"/>
      <c r="F70" s="402"/>
      <c r="G70" s="402"/>
      <c r="H70" s="404"/>
      <c r="I70" s="404"/>
      <c r="J70" s="404"/>
      <c r="K70" s="404"/>
    </row>
    <row r="71" spans="3:11">
      <c r="C71" s="400"/>
      <c r="E71" s="402"/>
      <c r="F71" s="402"/>
      <c r="G71" s="402"/>
      <c r="H71" s="404"/>
      <c r="I71" s="404"/>
      <c r="J71" s="404"/>
      <c r="K71" s="404"/>
    </row>
    <row r="72" spans="3:11">
      <c r="C72" s="400"/>
      <c r="E72" s="402"/>
      <c r="F72" s="402"/>
      <c r="G72" s="402"/>
      <c r="H72" s="404"/>
      <c r="I72" s="404"/>
      <c r="J72" s="404"/>
      <c r="K72" s="404"/>
    </row>
  </sheetData>
  <sheetProtection sort="0" autoFilter="0"/>
  <protectedRanges>
    <protectedRange sqref="B50" name="Range1_1"/>
    <protectedRange sqref="F14" name="Range1_1_2_2"/>
    <protectedRange sqref="C50" name="Range1_1_3_12"/>
    <protectedRange sqref="B17:B21" name="Range1_1_4"/>
    <protectedRange sqref="B15:C16 B23:C31 B38:C38 B32:B33 B34:C37" name="Range1_6_2"/>
    <protectedRange sqref="C17 C19:C20" name="Range1_3"/>
    <protectedRange sqref="F16:F50" name="Range1_1_3_1_1"/>
    <protectedRange sqref="F15" name="Range1_1_2_2_3_2"/>
    <protectedRange sqref="B39:B49" name="Range1_6_2_2"/>
    <protectedRange sqref="C49" name="Range1_6_2_2_2_1"/>
    <protectedRange sqref="C39:C48" name="Range1_1_3_2"/>
    <protectedRange sqref="C21" name="Range1_1_3_4"/>
    <protectedRange sqref="C32" name="Range1_1_3_5"/>
    <protectedRange sqref="C33" name="Range1_1_3_6"/>
    <protectedRange sqref="C18" name="Range1_1_3_9"/>
  </protectedRanges>
  <mergeCells count="22">
    <mergeCell ref="I64:K64"/>
    <mergeCell ref="I69:K69"/>
    <mergeCell ref="C57:F57"/>
    <mergeCell ref="G6:K6"/>
    <mergeCell ref="I63:K63"/>
    <mergeCell ref="C56:F56"/>
    <mergeCell ref="B58:K59"/>
    <mergeCell ref="H62:K62"/>
    <mergeCell ref="H11:K11"/>
    <mergeCell ref="H12:H13"/>
    <mergeCell ref="J12:J13"/>
    <mergeCell ref="K12:K13"/>
    <mergeCell ref="O3:P4"/>
    <mergeCell ref="B4:K4"/>
    <mergeCell ref="C55:F55"/>
    <mergeCell ref="B11:B13"/>
    <mergeCell ref="C11:C13"/>
    <mergeCell ref="D11:D13"/>
    <mergeCell ref="E11:E13"/>
    <mergeCell ref="F11:F13"/>
    <mergeCell ref="G11:G13"/>
    <mergeCell ref="I12:I13"/>
  </mergeCells>
  <phoneticPr fontId="135" type="noConversion"/>
  <conditionalFormatting sqref="E51:K51 F22 G15:K50 E15:E50 F37:F38">
    <cfRule type="cellIs" dxfId="13" priority="113" stopIfTrue="1" operator="equal">
      <formula>0</formula>
    </cfRule>
  </conditionalFormatting>
  <conditionalFormatting sqref="C50">
    <cfRule type="cellIs" dxfId="12" priority="132" operator="equal">
      <formula>0</formula>
    </cfRule>
  </conditionalFormatting>
  <conditionalFormatting sqref="E1:E3 G1:G13 E5:E13 H12:I12 O13 S14:V14 E52:G52 H52:K54 E53:H53 E54:F54">
    <cfRule type="cellIs" dxfId="11" priority="1114" stopIfTrue="1" operator="equal">
      <formula>0</formula>
    </cfRule>
  </conditionalFormatting>
  <conditionalFormatting sqref="E14:K14">
    <cfRule type="cellIs" dxfId="10" priority="82" stopIfTrue="1" operator="equal">
      <formula>0</formula>
    </cfRule>
  </conditionalFormatting>
  <conditionalFormatting sqref="G53:G65519 E58:E65519">
    <cfRule type="cellIs" dxfId="9" priority="248" stopIfTrue="1" operator="equal">
      <formula>0</formula>
    </cfRule>
  </conditionalFormatting>
  <conditionalFormatting sqref="F16">
    <cfRule type="cellIs" dxfId="8" priority="69" stopIfTrue="1" operator="equal">
      <formula>0</formula>
    </cfRule>
  </conditionalFormatting>
  <conditionalFormatting sqref="F15">
    <cfRule type="cellIs" dxfId="7" priority="66" stopIfTrue="1" operator="equal">
      <formula>0</formula>
    </cfRule>
  </conditionalFormatting>
  <conditionalFormatting sqref="F23">
    <cfRule type="cellIs" dxfId="6" priority="50" stopIfTrue="1" operator="equal">
      <formula>0</formula>
    </cfRule>
  </conditionalFormatting>
  <conditionalFormatting sqref="F49:F50">
    <cfRule type="cellIs" dxfId="5" priority="45" stopIfTrue="1" operator="equal">
      <formula>0</formula>
    </cfRule>
  </conditionalFormatting>
  <conditionalFormatting sqref="F39:F48">
    <cfRule type="cellIs" dxfId="4" priority="28" stopIfTrue="1" operator="equal">
      <formula>0</formula>
    </cfRule>
  </conditionalFormatting>
  <conditionalFormatting sqref="F17:F21">
    <cfRule type="cellIs" dxfId="3" priority="10" stopIfTrue="1" operator="equal">
      <formula>0</formula>
    </cfRule>
  </conditionalFormatting>
  <conditionalFormatting sqref="F25:F36">
    <cfRule type="cellIs" dxfId="2" priority="7" stopIfTrue="1" operator="equal">
      <formula>0</formula>
    </cfRule>
  </conditionalFormatting>
  <conditionalFormatting sqref="C33">
    <cfRule type="cellIs" dxfId="1" priority="6" operator="equal">
      <formula>0</formula>
    </cfRule>
  </conditionalFormatting>
  <conditionalFormatting sqref="C18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5:F16 C26:C28 F23 C34:C36 H14:K54 F25:F51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C1:AD55"/>
  <sheetViews>
    <sheetView showGridLines="0" tabSelected="1" view="pageBreakPreview" topLeftCell="A13" zoomScale="85" zoomScaleNormal="115" zoomScaleSheetLayoutView="85" workbookViewId="0">
      <selection activeCell="Q34" sqref="Q34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4" t="s">
        <v>1439</v>
      </c>
      <c r="X2" s="645"/>
      <c r="Y2" s="645"/>
      <c r="Z2" s="645"/>
      <c r="AA2" s="645"/>
      <c r="AB2" s="645"/>
      <c r="AC2" s="645"/>
      <c r="AD2" s="646"/>
    </row>
    <row r="3" spans="3:30">
      <c r="C3" s="238"/>
      <c r="W3" s="647"/>
      <c r="X3" s="648"/>
      <c r="Y3" s="648"/>
      <c r="Z3" s="648"/>
      <c r="AA3" s="648"/>
      <c r="AB3" s="648"/>
      <c r="AC3" s="648"/>
      <c r="AD3" s="649"/>
    </row>
    <row r="4" spans="3:30">
      <c r="C4" s="238"/>
      <c r="Q4" s="483" t="s">
        <v>1615</v>
      </c>
      <c r="W4" s="239" t="s">
        <v>987</v>
      </c>
      <c r="AD4" s="240"/>
    </row>
    <row r="5" spans="3:30">
      <c r="C5" s="238"/>
      <c r="W5" s="241" t="s">
        <v>991</v>
      </c>
      <c r="X5" s="650" t="s">
        <v>990</v>
      </c>
      <c r="Y5" s="650"/>
      <c r="Z5" s="650"/>
      <c r="AA5" s="650" t="s">
        <v>988</v>
      </c>
      <c r="AB5" s="650"/>
      <c r="AC5" s="650" t="s">
        <v>989</v>
      </c>
      <c r="AD5" s="651"/>
    </row>
    <row r="6" spans="3:30" ht="21">
      <c r="C6" s="238"/>
      <c r="Q6" s="509" t="s">
        <v>1627</v>
      </c>
      <c r="W6" s="241">
        <v>1</v>
      </c>
      <c r="X6" s="650" t="s">
        <v>993</v>
      </c>
      <c r="Y6" s="650"/>
      <c r="Z6" s="650"/>
      <c r="AA6" s="650"/>
      <c r="AB6" s="650"/>
      <c r="AC6" s="650"/>
      <c r="AD6" s="651"/>
    </row>
    <row r="7" spans="3:30">
      <c r="C7" s="238"/>
      <c r="W7" s="241">
        <v>2</v>
      </c>
      <c r="X7" s="650" t="s">
        <v>994</v>
      </c>
      <c r="Y7" s="650"/>
      <c r="Z7" s="650"/>
      <c r="AA7" s="650"/>
      <c r="AB7" s="650"/>
      <c r="AC7" s="650"/>
      <c r="AD7" s="651"/>
    </row>
    <row r="8" spans="3:30">
      <c r="C8" s="238"/>
      <c r="W8" s="241">
        <v>3</v>
      </c>
      <c r="X8" s="650" t="s">
        <v>995</v>
      </c>
      <c r="Y8" s="650"/>
      <c r="Z8" s="650"/>
      <c r="AA8" s="650"/>
      <c r="AB8" s="650"/>
      <c r="AC8" s="650"/>
      <c r="AD8" s="651"/>
    </row>
    <row r="9" spans="3:30">
      <c r="C9" s="238"/>
      <c r="W9" s="241">
        <v>4</v>
      </c>
      <c r="X9" s="650" t="s">
        <v>996</v>
      </c>
      <c r="Y9" s="650"/>
      <c r="Z9" s="650"/>
      <c r="AA9" s="650"/>
      <c r="AB9" s="650"/>
      <c r="AC9" s="650"/>
      <c r="AD9" s="651"/>
    </row>
    <row r="10" spans="3:30">
      <c r="C10" s="238"/>
      <c r="W10" s="241">
        <v>5</v>
      </c>
      <c r="X10" s="650" t="s">
        <v>997</v>
      </c>
      <c r="Y10" s="650"/>
      <c r="Z10" s="650"/>
      <c r="AA10" s="650"/>
      <c r="AB10" s="650"/>
      <c r="AC10" s="650"/>
      <c r="AD10" s="651"/>
    </row>
    <row r="11" spans="3:30">
      <c r="C11" s="238"/>
      <c r="W11" s="241">
        <v>6</v>
      </c>
      <c r="X11" s="650" t="s">
        <v>998</v>
      </c>
      <c r="Y11" s="650"/>
      <c r="Z11" s="650"/>
      <c r="AA11" s="650"/>
      <c r="AB11" s="650"/>
      <c r="AC11" s="650"/>
      <c r="AD11" s="651"/>
    </row>
    <row r="12" spans="3:30">
      <c r="C12" s="238"/>
      <c r="W12" s="241">
        <v>7</v>
      </c>
      <c r="X12" s="650" t="s">
        <v>999</v>
      </c>
      <c r="Y12" s="650"/>
      <c r="Z12" s="650"/>
      <c r="AA12" s="650"/>
      <c r="AB12" s="650"/>
      <c r="AC12" s="650"/>
      <c r="AD12" s="651"/>
    </row>
    <row r="13" spans="3:30" ht="12.75" customHeight="1">
      <c r="C13" s="238"/>
      <c r="W13" s="241">
        <v>8</v>
      </c>
      <c r="X13" s="650" t="s">
        <v>1000</v>
      </c>
      <c r="Y13" s="650"/>
      <c r="Z13" s="650"/>
      <c r="AA13" s="650"/>
      <c r="AB13" s="650"/>
      <c r="AC13" s="650"/>
      <c r="AD13" s="651"/>
    </row>
    <row r="14" spans="3:30">
      <c r="C14" s="238"/>
      <c r="W14" s="241">
        <v>9</v>
      </c>
      <c r="X14" s="650" t="s">
        <v>1001</v>
      </c>
      <c r="Y14" s="650"/>
      <c r="Z14" s="650"/>
      <c r="AA14" s="650"/>
      <c r="AB14" s="650"/>
      <c r="AC14" s="650"/>
      <c r="AD14" s="651"/>
    </row>
    <row r="15" spans="3:30">
      <c r="C15" s="238"/>
      <c r="W15" s="241">
        <v>10</v>
      </c>
      <c r="X15" s="650" t="s">
        <v>1010</v>
      </c>
      <c r="Y15" s="650"/>
      <c r="Z15" s="650"/>
      <c r="AA15" s="650"/>
      <c r="AB15" s="650"/>
      <c r="AC15" s="650"/>
      <c r="AD15" s="651"/>
    </row>
    <row r="16" spans="3:30">
      <c r="C16" s="238"/>
      <c r="W16" s="241">
        <v>11</v>
      </c>
      <c r="X16" s="650" t="s">
        <v>1455</v>
      </c>
      <c r="Y16" s="650"/>
      <c r="Z16" s="650"/>
      <c r="AA16" s="650"/>
      <c r="AB16" s="650"/>
      <c r="AC16" s="650"/>
      <c r="AD16" s="651"/>
    </row>
    <row r="17" spans="3:30">
      <c r="C17" s="238"/>
      <c r="S17" s="242"/>
      <c r="W17" s="241">
        <v>12</v>
      </c>
      <c r="X17" s="650" t="s">
        <v>1011</v>
      </c>
      <c r="Y17" s="650"/>
      <c r="Z17" s="650"/>
      <c r="AA17" s="650"/>
      <c r="AB17" s="650"/>
      <c r="AC17" s="650"/>
      <c r="AD17" s="651"/>
    </row>
    <row r="18" spans="3:30">
      <c r="C18" s="243"/>
      <c r="D18" s="244"/>
      <c r="E18" s="244"/>
      <c r="W18" s="241">
        <v>13</v>
      </c>
      <c r="X18" s="650"/>
      <c r="Y18" s="650"/>
      <c r="Z18" s="650"/>
      <c r="AA18" s="650"/>
      <c r="AB18" s="650"/>
      <c r="AC18" s="650"/>
      <c r="AD18" s="651"/>
    </row>
    <row r="19" spans="3:30">
      <c r="C19" s="238"/>
      <c r="W19" s="245"/>
      <c r="X19" s="667"/>
      <c r="Y19" s="667"/>
      <c r="Z19" s="667"/>
      <c r="AA19" s="667"/>
      <c r="AB19" s="667"/>
      <c r="AC19" s="667"/>
      <c r="AD19" s="668"/>
    </row>
    <row r="20" spans="3:30">
      <c r="C20" s="238"/>
      <c r="W20" s="652" t="s">
        <v>992</v>
      </c>
      <c r="X20" s="653"/>
      <c r="Y20" s="653"/>
      <c r="Z20" s="653"/>
      <c r="AA20" s="653"/>
      <c r="AB20" s="653"/>
      <c r="AC20" s="653"/>
      <c r="AD20" s="654"/>
    </row>
    <row r="21" spans="3:30">
      <c r="C21" s="238"/>
      <c r="W21" s="655" t="s">
        <v>985</v>
      </c>
      <c r="X21" s="656"/>
      <c r="Y21" s="656"/>
      <c r="Z21" s="657"/>
      <c r="AA21" s="658" t="s">
        <v>986</v>
      </c>
      <c r="AB21" s="659"/>
      <c r="AC21" s="659"/>
      <c r="AD21" s="660"/>
    </row>
    <row r="22" spans="3:30">
      <c r="C22" s="238"/>
      <c r="W22" s="661"/>
      <c r="X22" s="662"/>
      <c r="Y22" s="485"/>
      <c r="Z22" s="488"/>
      <c r="AA22" s="663"/>
      <c r="AB22" s="664"/>
      <c r="AC22" s="248"/>
      <c r="AD22" s="249"/>
    </row>
    <row r="23" spans="3:30">
      <c r="C23" s="238"/>
      <c r="W23" s="661"/>
      <c r="X23" s="662"/>
      <c r="Y23" s="485"/>
      <c r="Z23" s="488"/>
      <c r="AA23" s="665"/>
      <c r="AB23" s="666"/>
      <c r="AC23" s="248"/>
      <c r="AD23" s="249"/>
    </row>
    <row r="24" spans="3:30">
      <c r="C24" s="238"/>
      <c r="W24" s="671"/>
      <c r="X24" s="672"/>
      <c r="Y24" s="246"/>
      <c r="Z24" s="247"/>
      <c r="AA24" s="673"/>
      <c r="AB24" s="674"/>
      <c r="AC24" s="248"/>
      <c r="AD24" s="249"/>
    </row>
    <row r="25" spans="3:30">
      <c r="C25" s="238"/>
      <c r="W25" s="671"/>
      <c r="X25" s="672"/>
      <c r="Y25" s="246"/>
      <c r="Z25" s="247"/>
      <c r="AA25" s="665"/>
      <c r="AB25" s="666"/>
      <c r="AC25" s="248"/>
      <c r="AD25" s="249"/>
    </row>
    <row r="26" spans="3:30">
      <c r="C26" s="238"/>
      <c r="W26" s="473"/>
      <c r="X26" s="474"/>
      <c r="Y26" s="246"/>
      <c r="Z26" s="247"/>
      <c r="AA26" s="665"/>
      <c r="AB26" s="666"/>
      <c r="AC26" s="248"/>
      <c r="AD26" s="249"/>
    </row>
    <row r="27" spans="3:30">
      <c r="C27" s="238"/>
      <c r="W27" s="473"/>
      <c r="X27" s="474"/>
      <c r="Y27" s="246"/>
      <c r="Z27" s="247"/>
      <c r="AA27" s="669"/>
      <c r="AB27" s="670"/>
      <c r="AC27" s="248"/>
      <c r="AD27" s="249"/>
    </row>
    <row r="28" spans="3:30">
      <c r="C28" s="238"/>
      <c r="W28" s="473"/>
      <c r="X28" s="474"/>
      <c r="Y28" s="246"/>
      <c r="Z28" s="247"/>
      <c r="AA28" s="669"/>
      <c r="AB28" s="670"/>
      <c r="AC28" s="248"/>
      <c r="AD28" s="249"/>
    </row>
    <row r="29" spans="3:30">
      <c r="C29" s="238"/>
      <c r="W29" s="473"/>
      <c r="X29" s="474"/>
      <c r="Y29" s="246"/>
      <c r="Z29" s="247"/>
      <c r="AA29" s="669"/>
      <c r="AB29" s="670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69"/>
      <c r="AB30" s="670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69"/>
      <c r="AB31" s="670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69"/>
      <c r="AB32" s="670"/>
      <c r="AC32" s="248"/>
      <c r="AD32" s="249"/>
    </row>
    <row r="33" spans="3:30">
      <c r="C33" s="238"/>
      <c r="W33" s="473"/>
      <c r="X33" s="474"/>
      <c r="Y33" s="246"/>
      <c r="Z33" s="247"/>
      <c r="AA33" s="669"/>
      <c r="AB33" s="670"/>
      <c r="AC33" s="248"/>
      <c r="AD33" s="249"/>
    </row>
    <row r="34" spans="3:30">
      <c r="C34" s="238"/>
      <c r="W34" s="473"/>
      <c r="X34" s="474"/>
      <c r="Y34" s="246"/>
      <c r="Z34" s="247"/>
      <c r="AA34" s="669"/>
      <c r="AB34" s="670"/>
      <c r="AC34" s="248"/>
      <c r="AD34" s="249"/>
    </row>
    <row r="35" spans="3:30">
      <c r="C35" s="238"/>
      <c r="W35" s="671"/>
      <c r="X35" s="684"/>
      <c r="Y35" s="246"/>
      <c r="Z35" s="247"/>
      <c r="AA35" s="669"/>
      <c r="AB35" s="670"/>
      <c r="AC35" s="248"/>
      <c r="AD35" s="249"/>
    </row>
    <row r="36" spans="3:30">
      <c r="C36" s="238"/>
      <c r="W36" s="675"/>
      <c r="X36" s="676"/>
      <c r="Y36" s="246"/>
      <c r="Z36" s="251"/>
      <c r="AA36" s="677"/>
      <c r="AB36" s="670"/>
      <c r="AC36" s="248"/>
      <c r="AD36" s="249"/>
    </row>
    <row r="37" spans="3:30" ht="12.75" customHeight="1">
      <c r="C37" s="238"/>
      <c r="W37" s="678"/>
      <c r="X37" s="679"/>
      <c r="Y37" s="246"/>
      <c r="Z37" s="251"/>
      <c r="AA37" s="680"/>
      <c r="AB37" s="681"/>
      <c r="AC37" s="252"/>
      <c r="AD37" s="253"/>
    </row>
    <row r="38" spans="3:30" ht="12.75" customHeight="1">
      <c r="C38" s="238"/>
      <c r="W38" s="678"/>
      <c r="X38" s="679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8"/>
      <c r="X39" s="679"/>
      <c r="Y39" s="254"/>
      <c r="Z39" s="257"/>
      <c r="AA39" s="682"/>
      <c r="AB39" s="683"/>
      <c r="AC39" s="252"/>
      <c r="AD39" s="253"/>
    </row>
    <row r="40" spans="3:30" ht="12" customHeight="1">
      <c r="C40" s="238"/>
      <c r="W40" s="688"/>
      <c r="X40" s="689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0"/>
      <c r="X41" s="691"/>
      <c r="Y41" s="260"/>
      <c r="Z41" s="261"/>
      <c r="AA41" s="682"/>
      <c r="AB41" s="683"/>
      <c r="AC41" s="252"/>
      <c r="AD41" s="253"/>
    </row>
    <row r="42" spans="3:30" ht="12" customHeight="1">
      <c r="C42" s="238"/>
      <c r="W42" s="692" t="s">
        <v>1456</v>
      </c>
      <c r="X42" s="693"/>
      <c r="Y42" s="693"/>
      <c r="Z42" s="693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5" t="s">
        <v>11</v>
      </c>
      <c r="X44" s="686"/>
      <c r="Y44" s="650"/>
      <c r="Z44" s="650"/>
      <c r="AA44" s="650"/>
      <c r="AB44" s="650"/>
      <c r="AC44" s="650"/>
      <c r="AD44" s="651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5" t="s">
        <v>984</v>
      </c>
      <c r="X45" s="686"/>
      <c r="Y45" s="650">
        <v>1</v>
      </c>
      <c r="Z45" s="650"/>
      <c r="AA45" s="650"/>
      <c r="AB45" s="650" t="s">
        <v>12</v>
      </c>
      <c r="AC45" s="650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5" t="s">
        <v>15</v>
      </c>
      <c r="X46" s="686"/>
      <c r="Y46" s="687"/>
      <c r="Z46" s="687"/>
      <c r="AA46" s="687"/>
      <c r="AB46" s="650" t="s">
        <v>16</v>
      </c>
      <c r="AC46" s="650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8" t="s">
        <v>17</v>
      </c>
      <c r="X47" s="698"/>
      <c r="Y47" s="698"/>
      <c r="Z47" s="698"/>
      <c r="AA47" s="698"/>
      <c r="AB47" s="698"/>
      <c r="AC47" s="698"/>
      <c r="AD47" s="699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0" t="str">
        <f>RAB!G6</f>
        <v>TSEL IBS PLOSOREJO</v>
      </c>
      <c r="X48" s="701"/>
      <c r="Y48" s="701"/>
      <c r="Z48" s="701"/>
      <c r="AA48" s="701"/>
      <c r="AB48" s="701"/>
      <c r="AC48" s="701"/>
      <c r="AD48" s="702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0" t="str">
        <f>RAB!G7</f>
        <v>DN PENJALINAN 1/7 DS PLOSOREJO</v>
      </c>
      <c r="X49" s="701"/>
      <c r="Y49" s="701"/>
      <c r="Z49" s="701"/>
      <c r="AA49" s="701"/>
      <c r="AB49" s="701"/>
      <c r="AC49" s="701"/>
      <c r="AD49" s="702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4"/>
      <c r="X50" s="490"/>
      <c r="Y50" s="490"/>
      <c r="Z50" s="490"/>
      <c r="AA50" s="490"/>
      <c r="AB50" s="490"/>
      <c r="AC50" s="490"/>
      <c r="AD50" s="491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5"/>
      <c r="X51" s="492"/>
      <c r="Y51" s="492"/>
      <c r="Z51" s="492"/>
      <c r="AA51" s="492"/>
      <c r="AB51" s="492"/>
      <c r="AC51" s="492"/>
      <c r="AD51" s="493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5" t="s">
        <v>18</v>
      </c>
      <c r="X52" s="686"/>
      <c r="Y52" s="650" t="s">
        <v>1607</v>
      </c>
      <c r="Z52" s="650"/>
      <c r="AA52" s="650"/>
      <c r="AB52" s="650"/>
      <c r="AC52" s="650"/>
      <c r="AD52" s="651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5" t="s">
        <v>19</v>
      </c>
      <c r="X53" s="686"/>
      <c r="Y53" s="650" t="s">
        <v>1608</v>
      </c>
      <c r="Z53" s="650"/>
      <c r="AA53" s="650"/>
      <c r="AB53" s="650"/>
      <c r="AC53" s="650"/>
      <c r="AD53" s="651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5" t="s">
        <v>20</v>
      </c>
      <c r="X54" s="686"/>
      <c r="Y54" s="694" t="s">
        <v>1547</v>
      </c>
      <c r="Z54" s="694"/>
      <c r="AA54" s="694"/>
      <c r="AB54" s="650"/>
      <c r="AC54" s="650"/>
      <c r="AD54" s="651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5" t="s">
        <v>21</v>
      </c>
      <c r="X55" s="696"/>
      <c r="Y55" s="694"/>
      <c r="Z55" s="694"/>
      <c r="AA55" s="694"/>
      <c r="AB55" s="694"/>
      <c r="AC55" s="694"/>
      <c r="AD55" s="697"/>
    </row>
  </sheetData>
  <mergeCells count="102"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7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B1:AF68"/>
  <sheetViews>
    <sheetView view="pageBreakPreview" zoomScale="55" zoomScaleNormal="55" zoomScaleSheetLayoutView="55" workbookViewId="0">
      <selection activeCell="S36" sqref="S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3" t="s">
        <v>1528</v>
      </c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5"/>
      <c r="AD4" s="217"/>
      <c r="AE4" s="216"/>
      <c r="AF4" s="216"/>
    </row>
    <row r="5" spans="2:32" ht="13.5" customHeight="1">
      <c r="B5" s="215"/>
      <c r="C5" s="215"/>
      <c r="D5" s="706"/>
      <c r="E5" s="707"/>
      <c r="F5" s="707"/>
      <c r="G5" s="707"/>
      <c r="H5" s="707"/>
      <c r="I5" s="707"/>
      <c r="J5" s="707"/>
      <c r="K5" s="707"/>
      <c r="L5" s="707"/>
      <c r="M5" s="707"/>
      <c r="N5" s="707"/>
      <c r="O5" s="707"/>
      <c r="P5" s="707"/>
      <c r="Q5" s="707"/>
      <c r="R5" s="707"/>
      <c r="S5" s="707"/>
      <c r="T5" s="707"/>
      <c r="U5" s="707"/>
      <c r="V5" s="707"/>
      <c r="W5" s="707"/>
      <c r="X5" s="707"/>
      <c r="Y5" s="707"/>
      <c r="Z5" s="707"/>
      <c r="AA5" s="707"/>
      <c r="AB5" s="707"/>
      <c r="AC5" s="708"/>
      <c r="AD5" s="217"/>
      <c r="AE5" s="216"/>
      <c r="AF5" s="216"/>
    </row>
    <row r="6" spans="2:32" ht="12.75" customHeight="1">
      <c r="B6" s="215"/>
      <c r="C6" s="215"/>
      <c r="D6" s="706"/>
      <c r="E6" s="707"/>
      <c r="F6" s="707"/>
      <c r="G6" s="707"/>
      <c r="H6" s="707"/>
      <c r="I6" s="707"/>
      <c r="J6" s="707"/>
      <c r="K6" s="707"/>
      <c r="L6" s="707"/>
      <c r="M6" s="707"/>
      <c r="N6" s="707"/>
      <c r="O6" s="707"/>
      <c r="P6" s="707"/>
      <c r="Q6" s="707"/>
      <c r="R6" s="707"/>
      <c r="S6" s="707"/>
      <c r="T6" s="707"/>
      <c r="U6" s="707"/>
      <c r="V6" s="707"/>
      <c r="W6" s="707"/>
      <c r="X6" s="707"/>
      <c r="Y6" s="707"/>
      <c r="Z6" s="707"/>
      <c r="AA6" s="707"/>
      <c r="AB6" s="707"/>
      <c r="AC6" s="708"/>
      <c r="AE6" s="216"/>
      <c r="AF6" s="216"/>
    </row>
    <row r="7" spans="2:32" ht="12.75" customHeight="1" thickBot="1">
      <c r="B7" s="215"/>
      <c r="C7" s="215"/>
      <c r="D7" s="709"/>
      <c r="E7" s="710"/>
      <c r="F7" s="710"/>
      <c r="G7" s="710"/>
      <c r="H7" s="710"/>
      <c r="I7" s="710"/>
      <c r="J7" s="710"/>
      <c r="K7" s="710"/>
      <c r="L7" s="710"/>
      <c r="M7" s="710"/>
      <c r="N7" s="710"/>
      <c r="O7" s="710"/>
      <c r="P7" s="710"/>
      <c r="Q7" s="710"/>
      <c r="R7" s="710"/>
      <c r="S7" s="710"/>
      <c r="T7" s="710"/>
      <c r="U7" s="710"/>
      <c r="V7" s="710"/>
      <c r="W7" s="710"/>
      <c r="X7" s="710"/>
      <c r="Y7" s="710"/>
      <c r="Z7" s="710"/>
      <c r="AA7" s="710"/>
      <c r="AB7" s="710"/>
      <c r="AC7" s="711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7" t="s">
        <v>1527</v>
      </c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  <c r="Q3" s="707"/>
      <c r="R3" s="707"/>
      <c r="S3" s="707"/>
      <c r="T3" s="707"/>
      <c r="U3" s="707"/>
      <c r="V3" s="707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707"/>
      <c r="D4" s="707"/>
      <c r="E4" s="707"/>
      <c r="F4" s="707"/>
      <c r="G4" s="707"/>
      <c r="H4" s="707"/>
      <c r="I4" s="707"/>
      <c r="J4" s="707"/>
      <c r="K4" s="707"/>
      <c r="L4" s="707"/>
      <c r="M4" s="707"/>
      <c r="N4" s="707"/>
      <c r="O4" s="707"/>
      <c r="P4" s="707"/>
      <c r="Q4" s="707"/>
      <c r="R4" s="707"/>
      <c r="S4" s="707"/>
      <c r="T4" s="707"/>
      <c r="U4" s="707"/>
      <c r="V4" s="707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712"/>
      <c r="D6" s="712"/>
      <c r="E6" s="712"/>
      <c r="F6" s="712"/>
      <c r="G6" s="712"/>
      <c r="H6" s="712"/>
      <c r="I6" s="712"/>
      <c r="J6" s="712"/>
      <c r="K6" s="712"/>
      <c r="L6" s="712"/>
      <c r="M6" s="712"/>
      <c r="W6" s="182"/>
      <c r="Y6" s="420"/>
      <c r="Z6" s="420"/>
      <c r="AA6" s="420"/>
      <c r="AB6" s="421"/>
      <c r="AC6" s="421"/>
    </row>
    <row r="7" spans="1:29" ht="18" customHeight="1">
      <c r="A7" s="181"/>
      <c r="C7" s="712"/>
      <c r="D7" s="712"/>
      <c r="E7" s="712"/>
      <c r="F7" s="712"/>
      <c r="G7" s="712"/>
      <c r="H7" s="712"/>
      <c r="I7" s="712"/>
      <c r="J7" s="712"/>
      <c r="K7" s="712"/>
      <c r="L7" s="712"/>
      <c r="M7" s="712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MIFTAKHUL HUDA</cp:lastModifiedBy>
  <cp:lastPrinted>2023-08-11T05:50:27Z</cp:lastPrinted>
  <dcterms:created xsi:type="dcterms:W3CDTF">2011-02-06T11:57:38Z</dcterms:created>
  <dcterms:modified xsi:type="dcterms:W3CDTF">2024-01-26T03:57:48Z</dcterms:modified>
</cp:coreProperties>
</file>