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Kantor 2023\PB-PD\3. KKP PB-PD TR Kolektif\"/>
    </mc:Choice>
  </mc:AlternateContent>
  <xr:revisionPtr revIDLastSave="0" documentId="13_ncr:1_{B5CD164C-7659-4BDB-A1CC-B6D29041AEC3}" xr6:coauthVersionLast="47" xr6:coauthVersionMax="47" xr10:uidLastSave="{00000000-0000-0000-0000-000000000000}"/>
  <bookViews>
    <workbookView xWindow="-120" yWindow="-120" windowWidth="20730" windowHeight="1116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[29]MENU1!$D$4:$T$15</definedName>
    <definedName name="BULAN">[28]MENU1!$D$4:$T$15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[34]Asumsi!$S$10</definedName>
    <definedName name="DBSend" localSheetId="11">[35]Asumsi!$S$10</definedName>
    <definedName name="DBSend">[34]Asumsi!$S$10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 localSheetId="11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 localSheetId="11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 localSheetId="11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GAMBAR!$C$2:$AD$57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1" i="11" l="1"/>
  <c r="F174" i="11" s="1"/>
  <c r="F166" i="11"/>
  <c r="F69" i="11"/>
  <c r="F68" i="11"/>
  <c r="F67" i="11"/>
  <c r="F66" i="11"/>
  <c r="F65" i="11"/>
  <c r="F64" i="11"/>
  <c r="F63" i="11"/>
  <c r="F62" i="11"/>
  <c r="F61" i="11"/>
  <c r="M70" i="11" l="1"/>
  <c r="G69" i="11"/>
  <c r="E69" i="11"/>
  <c r="D69" i="11"/>
  <c r="G68" i="11"/>
  <c r="E68" i="11"/>
  <c r="D68" i="11"/>
  <c r="J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J65" i="11" s="1"/>
  <c r="G64" i="11"/>
  <c r="E64" i="11"/>
  <c r="D64" i="11"/>
  <c r="J64" i="11" s="1"/>
  <c r="G63" i="11"/>
  <c r="E63" i="11"/>
  <c r="D63" i="11"/>
  <c r="J63" i="11" s="1"/>
  <c r="G62" i="11"/>
  <c r="E62" i="11"/>
  <c r="D62" i="11"/>
  <c r="J62" i="11" s="1"/>
  <c r="G61" i="11"/>
  <c r="E61" i="11"/>
  <c r="D61" i="11"/>
  <c r="J61" i="11" s="1"/>
  <c r="M60" i="11"/>
  <c r="G60" i="11"/>
  <c r="E60" i="11"/>
  <c r="D60" i="11"/>
  <c r="J60" i="11" s="1"/>
  <c r="Y37" i="74"/>
  <c r="I69" i="11" l="1"/>
  <c r="H61" i="11"/>
  <c r="K61" i="11" s="1"/>
  <c r="M61" i="11" s="1"/>
  <c r="I61" i="11"/>
  <c r="I68" i="11"/>
  <c r="H65" i="11"/>
  <c r="H68" i="11"/>
  <c r="J69" i="11"/>
  <c r="H67" i="11"/>
  <c r="I66" i="11"/>
  <c r="I67" i="11"/>
  <c r="H63" i="11"/>
  <c r="H69" i="11"/>
  <c r="I65" i="11"/>
  <c r="I60" i="11"/>
  <c r="H60" i="11"/>
  <c r="H62" i="11"/>
  <c r="I62" i="11"/>
  <c r="I63" i="11"/>
  <c r="H64" i="11"/>
  <c r="I64" i="11"/>
  <c r="H66" i="11"/>
  <c r="F58" i="11"/>
  <c r="F57" i="11"/>
  <c r="F56" i="11"/>
  <c r="F55" i="11"/>
  <c r="F54" i="11"/>
  <c r="F53" i="11"/>
  <c r="F52" i="11"/>
  <c r="F51" i="11"/>
  <c r="F50" i="11"/>
  <c r="F49" i="11"/>
  <c r="M59" i="11"/>
  <c r="G58" i="11"/>
  <c r="E58" i="11"/>
  <c r="D58" i="11"/>
  <c r="G57" i="11"/>
  <c r="E57" i="11"/>
  <c r="D57" i="11"/>
  <c r="J57" i="11" s="1"/>
  <c r="G56" i="11"/>
  <c r="E56" i="11"/>
  <c r="D56" i="11"/>
  <c r="H56" i="11" s="1"/>
  <c r="G55" i="11"/>
  <c r="E55" i="11"/>
  <c r="D55" i="11"/>
  <c r="G54" i="11"/>
  <c r="E54" i="11"/>
  <c r="D54" i="11"/>
  <c r="J54" i="11" s="1"/>
  <c r="G53" i="11"/>
  <c r="E53" i="11"/>
  <c r="D53" i="11"/>
  <c r="J53" i="11" s="1"/>
  <c r="G52" i="11"/>
  <c r="E52" i="11"/>
  <c r="D52" i="11"/>
  <c r="H52" i="11" s="1"/>
  <c r="G51" i="11"/>
  <c r="E51" i="11"/>
  <c r="D51" i="11"/>
  <c r="G50" i="11"/>
  <c r="E50" i="11"/>
  <c r="D50" i="11"/>
  <c r="J50" i="11" s="1"/>
  <c r="G49" i="11"/>
  <c r="E49" i="11"/>
  <c r="D49" i="11"/>
  <c r="J49" i="11" s="1"/>
  <c r="M48" i="11"/>
  <c r="G48" i="11"/>
  <c r="E48" i="11"/>
  <c r="D48" i="11"/>
  <c r="H48" i="11" s="1"/>
  <c r="K69" i="11" l="1"/>
  <c r="M69" i="11" s="1"/>
  <c r="K68" i="11"/>
  <c r="M68" i="11" s="1"/>
  <c r="K64" i="11"/>
  <c r="M64" i="11" s="1"/>
  <c r="K67" i="11"/>
  <c r="M67" i="11" s="1"/>
  <c r="K65" i="11"/>
  <c r="M65" i="11" s="1"/>
  <c r="K66" i="11"/>
  <c r="M66" i="11" s="1"/>
  <c r="K60" i="11"/>
  <c r="K63" i="11"/>
  <c r="M63" i="11" s="1"/>
  <c r="K62" i="11"/>
  <c r="M62" i="11" s="1"/>
  <c r="J58" i="11"/>
  <c r="I51" i="11"/>
  <c r="I55" i="11"/>
  <c r="J56" i="11"/>
  <c r="J55" i="11"/>
  <c r="I56" i="11"/>
  <c r="J51" i="11"/>
  <c r="I52" i="11"/>
  <c r="I48" i="11"/>
  <c r="H49" i="11"/>
  <c r="H53" i="11"/>
  <c r="H57" i="11"/>
  <c r="J48" i="11"/>
  <c r="I49" i="11"/>
  <c r="H50" i="11"/>
  <c r="J52" i="11"/>
  <c r="K52" i="11" s="1"/>
  <c r="M52" i="11" s="1"/>
  <c r="I53" i="11"/>
  <c r="H54" i="11"/>
  <c r="I57" i="11"/>
  <c r="H58" i="11"/>
  <c r="I50" i="11"/>
  <c r="H51" i="11"/>
  <c r="I54" i="11"/>
  <c r="H55" i="11"/>
  <c r="I58" i="11"/>
  <c r="K56" i="11" l="1"/>
  <c r="M56" i="11" s="1"/>
  <c r="K55" i="11"/>
  <c r="M55" i="11" s="1"/>
  <c r="K48" i="11"/>
  <c r="K51" i="11"/>
  <c r="M51" i="11" s="1"/>
  <c r="K49" i="11"/>
  <c r="M49" i="11" s="1"/>
  <c r="K58" i="11"/>
  <c r="M58" i="11" s="1"/>
  <c r="K50" i="11"/>
  <c r="M50" i="11" s="1"/>
  <c r="K57" i="11"/>
  <c r="M57" i="11" s="1"/>
  <c r="K54" i="11"/>
  <c r="M54" i="11" s="1"/>
  <c r="K53" i="11"/>
  <c r="M53" i="11" s="1"/>
  <c r="F101" i="11" l="1"/>
  <c r="F100" i="11"/>
  <c r="F99" i="11"/>
  <c r="F98" i="11"/>
  <c r="F97" i="11"/>
  <c r="M180" i="11" l="1"/>
  <c r="M123" i="11"/>
  <c r="M117" i="11"/>
  <c r="M110" i="11"/>
  <c r="M103" i="11"/>
  <c r="M85" i="11"/>
  <c r="M71" i="11"/>
  <c r="M34" i="11"/>
  <c r="M22" i="11"/>
  <c r="M137" i="11"/>
  <c r="F131" i="11"/>
  <c r="M131" i="11" s="1"/>
  <c r="G47" i="11"/>
  <c r="E47" i="11"/>
  <c r="D47" i="11"/>
  <c r="J47" i="11" s="1"/>
  <c r="F18" i="11"/>
  <c r="E16" i="11"/>
  <c r="D16" i="11"/>
  <c r="J16" i="11" s="1"/>
  <c r="E15" i="11"/>
  <c r="D15" i="11"/>
  <c r="J15" i="11" s="1"/>
  <c r="H47" i="11" l="1"/>
  <c r="I47" i="11"/>
  <c r="H16" i="11"/>
  <c r="H15" i="11"/>
  <c r="K47" i="11" l="1"/>
  <c r="F32" i="11" l="1"/>
  <c r="F31" i="11"/>
  <c r="F30" i="11"/>
  <c r="F29" i="11"/>
  <c r="F28" i="11"/>
  <c r="F27" i="11"/>
  <c r="F26" i="11"/>
  <c r="F25" i="11"/>
  <c r="F24" i="11"/>
  <c r="F23" i="11"/>
  <c r="G33" i="11"/>
  <c r="E33" i="11"/>
  <c r="D33" i="11"/>
  <c r="J33" i="11" s="1"/>
  <c r="E32" i="11"/>
  <c r="D32" i="1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J24" i="11" s="1"/>
  <c r="E23" i="11"/>
  <c r="D23" i="11"/>
  <c r="J23" i="11" s="1"/>
  <c r="G22" i="11"/>
  <c r="E22" i="11"/>
  <c r="D22" i="11"/>
  <c r="J22" i="11" s="1"/>
  <c r="H33" i="11" l="1"/>
  <c r="H22" i="11"/>
  <c r="H24" i="11"/>
  <c r="H25" i="11"/>
  <c r="H26" i="11"/>
  <c r="H27" i="11"/>
  <c r="H28" i="11"/>
  <c r="H29" i="11"/>
  <c r="H30" i="11"/>
  <c r="H31" i="11"/>
  <c r="H32" i="11"/>
  <c r="I33" i="11"/>
  <c r="I22" i="11"/>
  <c r="I23" i="11"/>
  <c r="I32" i="11"/>
  <c r="K22" i="11" l="1"/>
  <c r="K33" i="11"/>
  <c r="M33" i="11" s="1"/>
  <c r="O229" i="10" l="1"/>
  <c r="P229" i="10" s="1"/>
  <c r="K229" i="10"/>
  <c r="M229" i="10" s="1"/>
  <c r="J229" i="10"/>
  <c r="I229" i="10"/>
  <c r="O280" i="10"/>
  <c r="P280" i="10" s="1"/>
  <c r="K280" i="10"/>
  <c r="J280" i="10"/>
  <c r="L280" i="10" s="1"/>
  <c r="I280" i="10"/>
  <c r="D80" i="11"/>
  <c r="E80" i="11"/>
  <c r="D81" i="11"/>
  <c r="E81" i="11"/>
  <c r="O217" i="10"/>
  <c r="P217" i="10" s="1"/>
  <c r="K217" i="10"/>
  <c r="M217" i="10" s="1"/>
  <c r="J217" i="10"/>
  <c r="I217" i="10"/>
  <c r="D35" i="11"/>
  <c r="E35" i="11"/>
  <c r="G35" i="11" l="1"/>
  <c r="G23" i="11"/>
  <c r="H23" i="11" s="1"/>
  <c r="K23" i="11" s="1"/>
  <c r="M23" i="11" s="1"/>
  <c r="J35" i="11"/>
  <c r="I35" i="11"/>
  <c r="M171" i="11"/>
  <c r="F177" i="11" l="1"/>
  <c r="D20" i="59"/>
  <c r="F172" i="11"/>
  <c r="F173" i="11"/>
  <c r="F175" i="11"/>
  <c r="F176" i="11"/>
  <c r="F168" i="11"/>
  <c r="E168" i="11" l="1"/>
  <c r="D168" i="11"/>
  <c r="E167" i="11"/>
  <c r="D167" i="11"/>
  <c r="J167" i="11" s="1"/>
  <c r="G163" i="11"/>
  <c r="E163" i="11"/>
  <c r="D163" i="11"/>
  <c r="J163" i="11" s="1"/>
  <c r="G162" i="11"/>
  <c r="E162" i="11"/>
  <c r="D162" i="11"/>
  <c r="J162" i="11" s="1"/>
  <c r="G161" i="11"/>
  <c r="E161" i="11"/>
  <c r="D161" i="11"/>
  <c r="I161" i="11" s="1"/>
  <c r="G160" i="11"/>
  <c r="E160" i="11"/>
  <c r="D160" i="11"/>
  <c r="H160" i="11" s="1"/>
  <c r="G159" i="11"/>
  <c r="E159" i="11"/>
  <c r="D159" i="11"/>
  <c r="H159" i="11" s="1"/>
  <c r="G158" i="11"/>
  <c r="E158" i="11"/>
  <c r="D158" i="11"/>
  <c r="J158" i="11" s="1"/>
  <c r="G157" i="11"/>
  <c r="E157" i="11"/>
  <c r="D157" i="11"/>
  <c r="J157" i="11" s="1"/>
  <c r="G156" i="11"/>
  <c r="E156" i="11"/>
  <c r="D156" i="11"/>
  <c r="J156" i="11" s="1"/>
  <c r="G155" i="11"/>
  <c r="E155" i="11"/>
  <c r="D155" i="11"/>
  <c r="J155" i="11" s="1"/>
  <c r="G154" i="11"/>
  <c r="E154" i="11"/>
  <c r="D154" i="11"/>
  <c r="J154" i="11" s="1"/>
  <c r="G153" i="11"/>
  <c r="E153" i="11"/>
  <c r="D153" i="11"/>
  <c r="I153" i="11" s="1"/>
  <c r="G152" i="11"/>
  <c r="E152" i="11"/>
  <c r="D152" i="11"/>
  <c r="H152" i="11" s="1"/>
  <c r="G151" i="11"/>
  <c r="E151" i="11"/>
  <c r="D151" i="11"/>
  <c r="H151" i="11" s="1"/>
  <c r="G150" i="11"/>
  <c r="E150" i="11"/>
  <c r="D150" i="11"/>
  <c r="J150" i="11" s="1"/>
  <c r="G149" i="11"/>
  <c r="E149" i="11"/>
  <c r="D149" i="11"/>
  <c r="J149" i="11" s="1"/>
  <c r="G148" i="11"/>
  <c r="E148" i="11"/>
  <c r="D148" i="11"/>
  <c r="H148" i="11" s="1"/>
  <c r="G147" i="11"/>
  <c r="E147" i="11"/>
  <c r="D147" i="11"/>
  <c r="J147" i="11" s="1"/>
  <c r="G146" i="11"/>
  <c r="E146" i="11"/>
  <c r="D146" i="11"/>
  <c r="J146" i="11" s="1"/>
  <c r="G145" i="11"/>
  <c r="E145" i="11"/>
  <c r="D145" i="11"/>
  <c r="I145" i="11" s="1"/>
  <c r="G144" i="11"/>
  <c r="E144" i="11"/>
  <c r="D144" i="11"/>
  <c r="H144" i="11" s="1"/>
  <c r="G143" i="11"/>
  <c r="E143" i="11"/>
  <c r="D143" i="11"/>
  <c r="H143" i="11" s="1"/>
  <c r="G142" i="11"/>
  <c r="E142" i="11"/>
  <c r="D142" i="11"/>
  <c r="J142" i="11" s="1"/>
  <c r="F115" i="11"/>
  <c r="F114" i="11"/>
  <c r="F113" i="11"/>
  <c r="F112" i="11"/>
  <c r="F111" i="11"/>
  <c r="F108" i="11"/>
  <c r="F107" i="11"/>
  <c r="F106" i="11"/>
  <c r="F105" i="11"/>
  <c r="F104" i="11"/>
  <c r="F94" i="11"/>
  <c r="F93" i="11"/>
  <c r="F92" i="11"/>
  <c r="F91" i="11"/>
  <c r="F90" i="11"/>
  <c r="F89" i="11"/>
  <c r="F88" i="11"/>
  <c r="F87" i="11"/>
  <c r="F86" i="11"/>
  <c r="F83" i="11"/>
  <c r="F82" i="11"/>
  <c r="F81" i="11"/>
  <c r="F80" i="11"/>
  <c r="F79" i="11"/>
  <c r="F78" i="11"/>
  <c r="F77" i="11"/>
  <c r="F76" i="11"/>
  <c r="F75" i="11"/>
  <c r="F74" i="11"/>
  <c r="M74" i="11" s="1"/>
  <c r="F72" i="11"/>
  <c r="F141" i="11"/>
  <c r="F140" i="11"/>
  <c r="F139" i="11"/>
  <c r="F138" i="11"/>
  <c r="F129" i="11"/>
  <c r="F128" i="11"/>
  <c r="F127" i="11"/>
  <c r="F126" i="11"/>
  <c r="F125" i="11"/>
  <c r="F124" i="11"/>
  <c r="F135" i="11"/>
  <c r="F134" i="11"/>
  <c r="F133" i="11"/>
  <c r="F132" i="11"/>
  <c r="F46" i="11"/>
  <c r="M47" i="11" s="1"/>
  <c r="F45" i="11"/>
  <c r="F44" i="11"/>
  <c r="F43" i="11"/>
  <c r="F42" i="11"/>
  <c r="F41" i="11"/>
  <c r="F40" i="11"/>
  <c r="F39" i="11"/>
  <c r="F38" i="11"/>
  <c r="F37" i="11"/>
  <c r="F36" i="11"/>
  <c r="F35" i="11"/>
  <c r="F121" i="11" l="1"/>
  <c r="H35" i="11"/>
  <c r="K35" i="11" s="1"/>
  <c r="M35" i="11" s="1"/>
  <c r="F118" i="11"/>
  <c r="F119" i="11"/>
  <c r="F120" i="11"/>
  <c r="H168" i="11"/>
  <c r="I168" i="11"/>
  <c r="I167" i="11"/>
  <c r="J148" i="11"/>
  <c r="I159" i="11"/>
  <c r="I148" i="11"/>
  <c r="H150" i="11"/>
  <c r="I151" i="11"/>
  <c r="I142" i="11"/>
  <c r="J151" i="11"/>
  <c r="H156" i="11"/>
  <c r="J144" i="11"/>
  <c r="H157" i="11"/>
  <c r="I150" i="11"/>
  <c r="I156" i="11"/>
  <c r="J159" i="11"/>
  <c r="I143" i="11"/>
  <c r="H149" i="11"/>
  <c r="J143" i="11"/>
  <c r="I149" i="11"/>
  <c r="J152" i="11"/>
  <c r="H158" i="11"/>
  <c r="H142" i="11"/>
  <c r="I158" i="11"/>
  <c r="J160" i="11"/>
  <c r="I144" i="11"/>
  <c r="J145" i="11"/>
  <c r="I152" i="11"/>
  <c r="J153" i="11"/>
  <c r="I160" i="11"/>
  <c r="J161" i="11"/>
  <c r="I157" i="11"/>
  <c r="H147" i="11"/>
  <c r="H155" i="11"/>
  <c r="H163" i="11"/>
  <c r="H146" i="11"/>
  <c r="I147" i="11"/>
  <c r="H154" i="11"/>
  <c r="I155" i="11"/>
  <c r="H162" i="11"/>
  <c r="I163" i="11"/>
  <c r="H145" i="11"/>
  <c r="I146" i="11"/>
  <c r="H153" i="11"/>
  <c r="I154" i="11"/>
  <c r="H161" i="11"/>
  <c r="I162" i="11"/>
  <c r="K151" i="11" l="1"/>
  <c r="M151" i="11" s="1"/>
  <c r="K148" i="11"/>
  <c r="M148" i="11" s="1"/>
  <c r="K146" i="11"/>
  <c r="M146" i="11" s="1"/>
  <c r="K152" i="11"/>
  <c r="M152" i="11" s="1"/>
  <c r="K161" i="11"/>
  <c r="M161" i="11" s="1"/>
  <c r="K143" i="11"/>
  <c r="M143" i="11" s="1"/>
  <c r="K157" i="11"/>
  <c r="M157" i="11" s="1"/>
  <c r="K142" i="11"/>
  <c r="M142" i="11" s="1"/>
  <c r="K156" i="11"/>
  <c r="M156" i="11" s="1"/>
  <c r="K159" i="11"/>
  <c r="M159" i="11" s="1"/>
  <c r="K160" i="11"/>
  <c r="M160" i="11" s="1"/>
  <c r="K150" i="11"/>
  <c r="M150" i="11" s="1"/>
  <c r="K144" i="11"/>
  <c r="M144" i="11" s="1"/>
  <c r="K158" i="11"/>
  <c r="M158" i="11" s="1"/>
  <c r="K149" i="11"/>
  <c r="M149" i="11" s="1"/>
  <c r="K163" i="11"/>
  <c r="M163" i="11" s="1"/>
  <c r="K145" i="11"/>
  <c r="M145" i="11" s="1"/>
  <c r="K154" i="11"/>
  <c r="M154" i="11" s="1"/>
  <c r="K155" i="11"/>
  <c r="M155" i="11" s="1"/>
  <c r="K153" i="11"/>
  <c r="M153" i="11" s="1"/>
  <c r="K162" i="11"/>
  <c r="M162" i="11" s="1"/>
  <c r="K147" i="11"/>
  <c r="M147" i="11" s="1"/>
  <c r="D14" i="59" l="1"/>
  <c r="C3" i="75"/>
  <c r="W50" i="74"/>
  <c r="E99" i="11"/>
  <c r="D99" i="11"/>
  <c r="J99" i="11" s="1"/>
  <c r="E98" i="11"/>
  <c r="D98" i="11"/>
  <c r="J98" i="11" s="1"/>
  <c r="E97" i="11"/>
  <c r="D97" i="11"/>
  <c r="J97" i="11" s="1"/>
  <c r="G96" i="11"/>
  <c r="E96" i="11"/>
  <c r="D96" i="11"/>
  <c r="J96" i="11" s="1"/>
  <c r="G122" i="11"/>
  <c r="E122" i="11"/>
  <c r="D122" i="11"/>
  <c r="J122" i="11" s="1"/>
  <c r="E121" i="11"/>
  <c r="D121" i="11"/>
  <c r="E120" i="11"/>
  <c r="D120" i="11"/>
  <c r="E119" i="11"/>
  <c r="D119" i="11"/>
  <c r="H119" i="11" s="1"/>
  <c r="E118" i="11"/>
  <c r="D118" i="11"/>
  <c r="J118" i="11" s="1"/>
  <c r="G117" i="11"/>
  <c r="E117" i="11"/>
  <c r="D117" i="11"/>
  <c r="J117" i="11" s="1"/>
  <c r="G95" i="11"/>
  <c r="E95" i="11"/>
  <c r="D95" i="11"/>
  <c r="J95" i="11" s="1"/>
  <c r="E94" i="11"/>
  <c r="D94" i="11"/>
  <c r="E93" i="11"/>
  <c r="D93" i="11"/>
  <c r="E92" i="11"/>
  <c r="D92" i="11"/>
  <c r="E91" i="11"/>
  <c r="D91" i="11"/>
  <c r="H91" i="11" s="1"/>
  <c r="E90" i="11"/>
  <c r="D90" i="11"/>
  <c r="H90" i="11" s="1"/>
  <c r="E89" i="11"/>
  <c r="D89" i="11"/>
  <c r="J89" i="11" s="1"/>
  <c r="E88" i="11"/>
  <c r="D88" i="11"/>
  <c r="E87" i="11"/>
  <c r="D87" i="11"/>
  <c r="H87" i="11" s="1"/>
  <c r="E86" i="11"/>
  <c r="D86" i="11"/>
  <c r="G85" i="11"/>
  <c r="E85" i="11"/>
  <c r="D85" i="11"/>
  <c r="J85" i="11" s="1"/>
  <c r="G84" i="11"/>
  <c r="E84" i="11"/>
  <c r="D84" i="11"/>
  <c r="J84" i="11" s="1"/>
  <c r="E83" i="11"/>
  <c r="D83" i="11"/>
  <c r="E82" i="11"/>
  <c r="D82" i="11"/>
  <c r="J82" i="11" s="1"/>
  <c r="J81" i="11"/>
  <c r="G80" i="11"/>
  <c r="E79" i="11"/>
  <c r="D79" i="11"/>
  <c r="J79" i="11" s="1"/>
  <c r="E78" i="11"/>
  <c r="D78" i="11"/>
  <c r="J78" i="11" s="1"/>
  <c r="E77" i="11"/>
  <c r="D77" i="11"/>
  <c r="J77" i="11" s="1"/>
  <c r="E76" i="11"/>
  <c r="D76" i="11"/>
  <c r="J76" i="11" s="1"/>
  <c r="G75" i="11"/>
  <c r="E75" i="11"/>
  <c r="D75" i="11"/>
  <c r="E74" i="11"/>
  <c r="D74" i="11"/>
  <c r="J74" i="11" s="1"/>
  <c r="G73" i="11"/>
  <c r="E73" i="11"/>
  <c r="D73" i="11"/>
  <c r="I73" i="11" s="1"/>
  <c r="E72" i="11"/>
  <c r="D72" i="11"/>
  <c r="G71" i="11"/>
  <c r="E71" i="11"/>
  <c r="D71" i="11"/>
  <c r="E141" i="11"/>
  <c r="D141" i="11"/>
  <c r="H141" i="11" s="1"/>
  <c r="A141" i="11"/>
  <c r="E100" i="11"/>
  <c r="D100" i="11"/>
  <c r="J100" i="11" s="1"/>
  <c r="E140" i="11"/>
  <c r="D140" i="11"/>
  <c r="J140" i="11" s="1"/>
  <c r="E139" i="11"/>
  <c r="D139" i="11"/>
  <c r="J139" i="11" s="1"/>
  <c r="E138" i="11"/>
  <c r="D138" i="11"/>
  <c r="J138" i="11" s="1"/>
  <c r="G137" i="11"/>
  <c r="E137" i="11"/>
  <c r="D137" i="11"/>
  <c r="G136" i="11"/>
  <c r="E136" i="11"/>
  <c r="D136" i="11"/>
  <c r="J136" i="11" s="1"/>
  <c r="E135" i="11"/>
  <c r="D135" i="11"/>
  <c r="E134" i="11"/>
  <c r="D134" i="11"/>
  <c r="E133" i="11"/>
  <c r="D133" i="11"/>
  <c r="J133" i="11" s="1"/>
  <c r="E132" i="11"/>
  <c r="D132" i="11"/>
  <c r="J132" i="11" s="1"/>
  <c r="G131" i="11"/>
  <c r="E131" i="11"/>
  <c r="D131" i="11"/>
  <c r="J131" i="11" s="1"/>
  <c r="G130" i="11"/>
  <c r="E130" i="11"/>
  <c r="D130" i="11"/>
  <c r="H130" i="11" s="1"/>
  <c r="E129" i="11"/>
  <c r="D129" i="11"/>
  <c r="E128" i="11"/>
  <c r="D128" i="11"/>
  <c r="J128" i="11" s="1"/>
  <c r="E127" i="11"/>
  <c r="D127" i="11"/>
  <c r="J127" i="11" s="1"/>
  <c r="E126" i="11"/>
  <c r="D126" i="11"/>
  <c r="E125" i="11"/>
  <c r="D125" i="11"/>
  <c r="H125" i="11" s="1"/>
  <c r="E124" i="11"/>
  <c r="D124" i="11"/>
  <c r="G123" i="11"/>
  <c r="E123" i="11"/>
  <c r="D123" i="11"/>
  <c r="H123" i="11" s="1"/>
  <c r="E46" i="11"/>
  <c r="D46" i="11"/>
  <c r="E45" i="11"/>
  <c r="D45" i="11"/>
  <c r="E44" i="11"/>
  <c r="D44" i="11"/>
  <c r="J44" i="11" s="1"/>
  <c r="E43" i="11"/>
  <c r="D43" i="11"/>
  <c r="J43" i="11" s="1"/>
  <c r="E42" i="11"/>
  <c r="D42" i="11"/>
  <c r="J42" i="11" s="1"/>
  <c r="E41" i="11"/>
  <c r="D41" i="11"/>
  <c r="J41" i="11" s="1"/>
  <c r="E40" i="11"/>
  <c r="D40" i="11"/>
  <c r="E39" i="11"/>
  <c r="D39" i="11"/>
  <c r="J39" i="11" s="1"/>
  <c r="E38" i="11"/>
  <c r="D38" i="11"/>
  <c r="J38" i="11" s="1"/>
  <c r="E37" i="11"/>
  <c r="D37" i="11"/>
  <c r="J37" i="11" s="1"/>
  <c r="E36" i="11"/>
  <c r="D36" i="11"/>
  <c r="J36" i="11" s="1"/>
  <c r="G34" i="11"/>
  <c r="E34" i="11"/>
  <c r="D34" i="11"/>
  <c r="H34" i="11" s="1"/>
  <c r="G21" i="11"/>
  <c r="E21" i="11"/>
  <c r="D21" i="11"/>
  <c r="I21" i="11" s="1"/>
  <c r="G20" i="11"/>
  <c r="E20" i="11"/>
  <c r="D20" i="11"/>
  <c r="J20" i="11" s="1"/>
  <c r="G19" i="11"/>
  <c r="E19" i="11"/>
  <c r="D19" i="11"/>
  <c r="J19" i="11" s="1"/>
  <c r="E18" i="11"/>
  <c r="D18" i="11"/>
  <c r="E17" i="11"/>
  <c r="D17" i="11"/>
  <c r="G14" i="11"/>
  <c r="E14" i="11"/>
  <c r="D14" i="11"/>
  <c r="J14" i="11" s="1"/>
  <c r="A14" i="11"/>
  <c r="D25" i="59"/>
  <c r="D22" i="59"/>
  <c r="D19" i="59"/>
  <c r="D18" i="59"/>
  <c r="J86" i="11" l="1"/>
  <c r="H88" i="11"/>
  <c r="H20" i="11"/>
  <c r="H117" i="11"/>
  <c r="J124" i="11"/>
  <c r="J73" i="11"/>
  <c r="I141" i="11"/>
  <c r="I74" i="11"/>
  <c r="H95" i="11"/>
  <c r="J137" i="11"/>
  <c r="I71" i="11"/>
  <c r="H73" i="11"/>
  <c r="I75" i="11"/>
  <c r="I85" i="11"/>
  <c r="J71" i="11"/>
  <c r="J75" i="11"/>
  <c r="J80" i="11"/>
  <c r="J93" i="11"/>
  <c r="I117" i="11"/>
  <c r="I72" i="11"/>
  <c r="H89" i="11"/>
  <c r="J120" i="11"/>
  <c r="I84" i="11"/>
  <c r="J72" i="11"/>
  <c r="I46" i="11"/>
  <c r="J88" i="11"/>
  <c r="I95" i="11"/>
  <c r="J119" i="11"/>
  <c r="H71" i="11"/>
  <c r="H75" i="11"/>
  <c r="I83" i="11"/>
  <c r="J87" i="11"/>
  <c r="J92" i="11"/>
  <c r="H118" i="11"/>
  <c r="J90" i="11"/>
  <c r="J91" i="11"/>
  <c r="H83" i="11"/>
  <c r="H84" i="11"/>
  <c r="H85" i="11"/>
  <c r="H86" i="11"/>
  <c r="I20" i="11"/>
  <c r="H82" i="11"/>
  <c r="H76" i="11"/>
  <c r="H77" i="11"/>
  <c r="H78" i="11"/>
  <c r="H79" i="11"/>
  <c r="H80" i="11"/>
  <c r="H81" i="11"/>
  <c r="H94" i="11"/>
  <c r="H122" i="11"/>
  <c r="H96" i="11"/>
  <c r="H97" i="11"/>
  <c r="H98" i="11"/>
  <c r="H99" i="11"/>
  <c r="I80" i="11"/>
  <c r="H93" i="11"/>
  <c r="I94" i="11"/>
  <c r="H121" i="11"/>
  <c r="I122" i="11"/>
  <c r="I96" i="11"/>
  <c r="H92" i="11"/>
  <c r="H120" i="11"/>
  <c r="I121" i="11"/>
  <c r="J21" i="11"/>
  <c r="H132" i="11"/>
  <c r="H21" i="11"/>
  <c r="I130" i="11"/>
  <c r="J130" i="11"/>
  <c r="H46" i="11"/>
  <c r="I34" i="11"/>
  <c r="J34" i="11"/>
  <c r="I123" i="11"/>
  <c r="H131" i="11"/>
  <c r="H14" i="11"/>
  <c r="I19" i="11"/>
  <c r="I14" i="11"/>
  <c r="H19" i="11"/>
  <c r="J40" i="11"/>
  <c r="J17" i="11"/>
  <c r="I18" i="11"/>
  <c r="J123" i="11"/>
  <c r="I131" i="11"/>
  <c r="H133" i="11"/>
  <c r="J134" i="11"/>
  <c r="H18" i="11"/>
  <c r="H41" i="11"/>
  <c r="H124" i="11"/>
  <c r="J126" i="11"/>
  <c r="J125" i="11"/>
  <c r="H42" i="11"/>
  <c r="H43" i="11"/>
  <c r="H44" i="11"/>
  <c r="H45" i="11"/>
  <c r="H129" i="11"/>
  <c r="H36" i="11"/>
  <c r="H37" i="11"/>
  <c r="H38" i="11"/>
  <c r="H39" i="11"/>
  <c r="H40" i="11"/>
  <c r="J45" i="11"/>
  <c r="H128" i="11"/>
  <c r="I129" i="11"/>
  <c r="H136" i="11"/>
  <c r="H137" i="11"/>
  <c r="H138" i="11"/>
  <c r="H139" i="11"/>
  <c r="H140" i="11"/>
  <c r="H100" i="11"/>
  <c r="H127" i="11"/>
  <c r="H135" i="11"/>
  <c r="I136" i="11"/>
  <c r="I137" i="11"/>
  <c r="H126" i="11"/>
  <c r="H134" i="11"/>
  <c r="I135" i="11"/>
  <c r="H17" i="11"/>
  <c r="D21" i="59"/>
  <c r="D106" i="11"/>
  <c r="H106" i="11" s="1"/>
  <c r="E106" i="11"/>
  <c r="D107" i="11"/>
  <c r="E107" i="11"/>
  <c r="K95" i="11" l="1"/>
  <c r="M95" i="11" s="1"/>
  <c r="K20" i="11"/>
  <c r="M20" i="11" s="1"/>
  <c r="K85" i="11"/>
  <c r="K84" i="11"/>
  <c r="M84" i="11" s="1"/>
  <c r="K75" i="11"/>
  <c r="M75" i="11" s="1"/>
  <c r="K130" i="11"/>
  <c r="M130" i="11" s="1"/>
  <c r="K73" i="11"/>
  <c r="M73" i="11" s="1"/>
  <c r="K117" i="11"/>
  <c r="H107" i="11"/>
  <c r="K122" i="11"/>
  <c r="M122" i="11" s="1"/>
  <c r="K34" i="11"/>
  <c r="K71" i="11"/>
  <c r="K21" i="11"/>
  <c r="M21" i="11" s="1"/>
  <c r="K96" i="11"/>
  <c r="M96" i="11" s="1"/>
  <c r="K80" i="11"/>
  <c r="M80" i="11" s="1"/>
  <c r="K137" i="11"/>
  <c r="K123" i="11"/>
  <c r="K19" i="11"/>
  <c r="M19" i="11" s="1"/>
  <c r="K14" i="11"/>
  <c r="M14" i="11" s="1"/>
  <c r="K131" i="11"/>
  <c r="K136" i="11"/>
  <c r="M136" i="11" s="1"/>
  <c r="J107" i="11"/>
  <c r="J106" i="11"/>
  <c r="D169" i="11"/>
  <c r="E169" i="11"/>
  <c r="G169" i="11"/>
  <c r="D170" i="11"/>
  <c r="J170" i="11" s="1"/>
  <c r="E170" i="11"/>
  <c r="D171" i="11"/>
  <c r="E171" i="11"/>
  <c r="D172" i="11"/>
  <c r="E172" i="11"/>
  <c r="D173" i="11"/>
  <c r="E173" i="11"/>
  <c r="D174" i="11"/>
  <c r="J174" i="11" s="1"/>
  <c r="E174" i="11"/>
  <c r="D175" i="11"/>
  <c r="E175" i="11"/>
  <c r="D176" i="11"/>
  <c r="H176" i="11" s="1"/>
  <c r="E176" i="11"/>
  <c r="D177" i="11"/>
  <c r="H177" i="11" s="1"/>
  <c r="E177" i="11"/>
  <c r="D103" i="11"/>
  <c r="H103" i="11" s="1"/>
  <c r="E103" i="11"/>
  <c r="D104" i="11"/>
  <c r="J104" i="11" s="1"/>
  <c r="E104" i="11"/>
  <c r="D109" i="11"/>
  <c r="E109" i="11"/>
  <c r="G109" i="11"/>
  <c r="D110" i="11"/>
  <c r="E110" i="11"/>
  <c r="D111" i="11"/>
  <c r="E111" i="11"/>
  <c r="D112" i="11"/>
  <c r="H112" i="11" s="1"/>
  <c r="E112" i="11"/>
  <c r="D113" i="11"/>
  <c r="J113" i="11" s="1"/>
  <c r="E113" i="11"/>
  <c r="D114" i="11"/>
  <c r="H114" i="11" s="1"/>
  <c r="E114" i="11"/>
  <c r="D115" i="11"/>
  <c r="H115" i="11" s="1"/>
  <c r="E115" i="11"/>
  <c r="D116" i="11"/>
  <c r="H116" i="11" s="1"/>
  <c r="E116" i="11"/>
  <c r="D164" i="11"/>
  <c r="J164" i="11" s="1"/>
  <c r="E164" i="11"/>
  <c r="D165" i="11"/>
  <c r="E165" i="11"/>
  <c r="J109" i="11" l="1"/>
  <c r="J169" i="11"/>
  <c r="J176" i="11"/>
  <c r="H175" i="11"/>
  <c r="I169" i="11"/>
  <c r="J171" i="11"/>
  <c r="H169" i="11"/>
  <c r="I170" i="11"/>
  <c r="H104" i="11"/>
  <c r="J111" i="11"/>
  <c r="J114" i="11"/>
  <c r="J112" i="11"/>
  <c r="I110" i="11"/>
  <c r="I109" i="11"/>
  <c r="H164" i="11"/>
  <c r="H113" i="11"/>
  <c r="H109" i="11"/>
  <c r="K169" i="11" l="1"/>
  <c r="M169" i="11" s="1"/>
  <c r="K109" i="11"/>
  <c r="M109" i="11" s="1"/>
  <c r="D166" i="11" l="1"/>
  <c r="E166" i="11"/>
  <c r="D101" i="11"/>
  <c r="E101" i="11"/>
  <c r="D102" i="11"/>
  <c r="H102" i="11" s="1"/>
  <c r="E102" i="11"/>
  <c r="D105" i="11"/>
  <c r="E105" i="11"/>
  <c r="D178" i="11"/>
  <c r="H178" i="11" s="1"/>
  <c r="E178" i="11"/>
  <c r="G178" i="11"/>
  <c r="D108" i="11"/>
  <c r="H108" i="11" s="1"/>
  <c r="E108" i="11"/>
  <c r="D179" i="11"/>
  <c r="J179" i="11" s="1"/>
  <c r="E179" i="11"/>
  <c r="G179" i="11"/>
  <c r="I166" i="11" l="1"/>
  <c r="H166" i="11"/>
  <c r="J102" i="11"/>
  <c r="H105" i="11"/>
  <c r="I101" i="11"/>
  <c r="H101" i="11"/>
  <c r="I178" i="11"/>
  <c r="J178" i="11"/>
  <c r="I108" i="11"/>
  <c r="H179" i="11"/>
  <c r="I179" i="11"/>
  <c r="K19" i="60"/>
  <c r="D19" i="60"/>
  <c r="K178" i="11" l="1"/>
  <c r="M178" i="11" s="1"/>
  <c r="K179" i="11"/>
  <c r="M179" i="11" s="1"/>
  <c r="I1489" i="10" l="1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01" i="11" l="1"/>
  <c r="D180" i="11" l="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80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80" i="10" s="1"/>
  <c r="N8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L141" i="10" s="1"/>
  <c r="N141" i="10" s="1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M363" i="10" s="1"/>
  <c r="N363" i="10" s="1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M601" i="10" s="1"/>
  <c r="N601" i="10" s="1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 s="1"/>
  <c r="O820" i="10"/>
  <c r="P820" i="10" s="1"/>
  <c r="J821" i="10"/>
  <c r="L821" i="10" s="1"/>
  <c r="K821" i="10"/>
  <c r="M821" i="10" s="1"/>
  <c r="N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N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 s="1"/>
  <c r="O996" i="10"/>
  <c r="P996" i="10" s="1"/>
  <c r="J997" i="10"/>
  <c r="L997" i="10" s="1"/>
  <c r="K997" i="10"/>
  <c r="M997" i="10" s="1"/>
  <c r="N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N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/>
  <c r="N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N1118" i="10" s="1"/>
  <c r="O1118" i="10"/>
  <c r="P1118" i="10" s="1"/>
  <c r="J1119" i="10"/>
  <c r="L1119" i="10" s="1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N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N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N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N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N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N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 s="1"/>
  <c r="J1455" i="10"/>
  <c r="L1455" i="10" s="1"/>
  <c r="K1455" i="10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O1457" i="10"/>
  <c r="P1457" i="10" s="1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91" i="11" s="1"/>
  <c r="I91" i="11" s="1"/>
  <c r="K91" i="11" s="1"/>
  <c r="M91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G25" i="11" s="1"/>
  <c r="I25" i="11" s="1"/>
  <c r="K25" i="11" s="1"/>
  <c r="M25" i="11" s="1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G46" i="11" s="1"/>
  <c r="J46" i="11" s="1"/>
  <c r="K46" i="11" s="1"/>
  <c r="M46" i="11" s="1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86" i="11" s="1"/>
  <c r="I86" i="11" s="1"/>
  <c r="K86" i="11" s="1"/>
  <c r="M86" i="11" s="1"/>
  <c r="I466" i="10"/>
  <c r="I20" i="10"/>
  <c r="I77" i="10"/>
  <c r="I98" i="10"/>
  <c r="I123" i="10"/>
  <c r="I145" i="10"/>
  <c r="I163" i="10"/>
  <c r="I179" i="10"/>
  <c r="I204" i="10"/>
  <c r="G17" i="11" s="1"/>
  <c r="I17" i="11" s="1"/>
  <c r="K17" i="11" s="1"/>
  <c r="M17" i="11" s="1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G170" i="11" s="1"/>
  <c r="H170" i="11" s="1"/>
  <c r="K170" i="11" s="1"/>
  <c r="M170" i="11" s="1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G141" i="11" s="1"/>
  <c r="J141" i="11" s="1"/>
  <c r="K141" i="11" s="1"/>
  <c r="M141" i="11" s="1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G100" i="11" s="1"/>
  <c r="I100" i="11" s="1"/>
  <c r="K100" i="11" s="1"/>
  <c r="M100" i="11" s="1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83" i="11" s="1"/>
  <c r="J83" i="11" s="1"/>
  <c r="K83" i="11" s="1"/>
  <c r="M83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88" i="11" s="1"/>
  <c r="I88" i="11" s="1"/>
  <c r="K88" i="11" s="1"/>
  <c r="M88" i="11" s="1"/>
  <c r="I12" i="10"/>
  <c r="I36" i="10"/>
  <c r="I103" i="10"/>
  <c r="I134" i="10"/>
  <c r="G72" i="11" s="1"/>
  <c r="H72" i="11" s="1"/>
  <c r="K72" i="11" s="1"/>
  <c r="M72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G32" i="11" s="1"/>
  <c r="J32" i="11" s="1"/>
  <c r="K32" i="11" s="1"/>
  <c r="M32" i="11" s="1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G135" i="11" s="1"/>
  <c r="J135" i="11" s="1"/>
  <c r="K135" i="11" s="1"/>
  <c r="M135" i="11" s="1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77" i="11" s="1"/>
  <c r="I77" i="11" s="1"/>
  <c r="K77" i="11" s="1"/>
  <c r="M77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G168" i="11" s="1"/>
  <c r="J168" i="11" s="1"/>
  <c r="K168" i="11" s="1"/>
  <c r="M168" i="11" s="1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G29" i="11" s="1"/>
  <c r="I29" i="11" s="1"/>
  <c r="K29" i="11" s="1"/>
  <c r="M29" i="11" s="1"/>
  <c r="I548" i="10"/>
  <c r="I575" i="10"/>
  <c r="I646" i="10"/>
  <c r="I671" i="10"/>
  <c r="G108" i="11" s="1"/>
  <c r="J108" i="11" s="1"/>
  <c r="K108" i="11" s="1"/>
  <c r="M108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G121" i="11" s="1"/>
  <c r="J121" i="11" s="1"/>
  <c r="K121" i="11" s="1"/>
  <c r="M121" i="11" s="1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66" i="11" s="1"/>
  <c r="J166" i="11" s="1"/>
  <c r="K166" i="11" s="1"/>
  <c r="M166" i="11" s="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G126" i="11" s="1"/>
  <c r="I126" i="11" s="1"/>
  <c r="K126" i="11" s="1"/>
  <c r="M126" i="11" s="1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G16" i="11" s="1"/>
  <c r="I16" i="11" s="1"/>
  <c r="K16" i="11" s="1"/>
  <c r="M16" i="11" s="1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76" i="11" s="1"/>
  <c r="I76" i="11" s="1"/>
  <c r="K76" i="11" s="1"/>
  <c r="M76" i="11" s="1"/>
  <c r="I504" i="10"/>
  <c r="I564" i="10"/>
  <c r="I656" i="10"/>
  <c r="I714" i="10"/>
  <c r="I783" i="10"/>
  <c r="I840" i="10"/>
  <c r="G129" i="11" s="1"/>
  <c r="J129" i="11" s="1"/>
  <c r="K129" i="11" s="1"/>
  <c r="M129" i="11" s="1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81" i="11" s="1"/>
  <c r="I81" i="11" s="1"/>
  <c r="K81" i="11" s="1"/>
  <c r="M81" i="11" s="1"/>
  <c r="I470" i="10"/>
  <c r="G42" i="11" s="1"/>
  <c r="I42" i="11" s="1"/>
  <c r="K42" i="11" s="1"/>
  <c r="M42" i="11" s="1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G102" i="11" s="1"/>
  <c r="I102" i="11" s="1"/>
  <c r="K102" i="11" s="1"/>
  <c r="M102" i="11" s="1"/>
  <c r="I309" i="10"/>
  <c r="I438" i="10"/>
  <c r="I503" i="10"/>
  <c r="I568" i="10"/>
  <c r="I670" i="10"/>
  <c r="G101" i="11" s="1"/>
  <c r="J101" i="11" s="1"/>
  <c r="K101" i="11" s="1"/>
  <c r="M101" i="11" s="1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79" i="11" s="1"/>
  <c r="I79" i="11" s="1"/>
  <c r="K79" i="11" s="1"/>
  <c r="M79" i="11" s="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G24" i="11" s="1"/>
  <c r="I24" i="11" s="1"/>
  <c r="K24" i="11" s="1"/>
  <c r="M24" i="11" s="1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65" i="11" s="1"/>
  <c r="H165" i="11" s="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G133" i="11" s="1"/>
  <c r="I133" i="11" s="1"/>
  <c r="K133" i="11" s="1"/>
  <c r="M133" i="11" s="1"/>
  <c r="I583" i="10"/>
  <c r="I674" i="10"/>
  <c r="I727" i="10"/>
  <c r="I816" i="10"/>
  <c r="G94" i="11" s="1"/>
  <c r="J94" i="11" s="1"/>
  <c r="K94" i="11" s="1"/>
  <c r="M94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80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G132" i="11" s="1"/>
  <c r="I132" i="11" s="1"/>
  <c r="K132" i="11" s="1"/>
  <c r="M132" i="11" s="1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G15" i="11" s="1"/>
  <c r="I15" i="11" s="1"/>
  <c r="K15" i="11" s="1"/>
  <c r="M15" i="11" s="1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87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25" i="10"/>
  <c r="M1434" i="10"/>
  <c r="N1434" i="10" s="1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G113" i="11" l="1"/>
  <c r="I113" i="11" s="1"/>
  <c r="K113" i="11" s="1"/>
  <c r="M113" i="11" s="1"/>
  <c r="N1425" i="10"/>
  <c r="L120" i="10"/>
  <c r="N120" i="10" s="1"/>
  <c r="G97" i="11"/>
  <c r="I97" i="11" s="1"/>
  <c r="K97" i="11" s="1"/>
  <c r="M97" i="11" s="1"/>
  <c r="G43" i="11"/>
  <c r="I43" i="11" s="1"/>
  <c r="K43" i="11" s="1"/>
  <c r="M43" i="11" s="1"/>
  <c r="G39" i="11"/>
  <c r="I39" i="11" s="1"/>
  <c r="K39" i="11" s="1"/>
  <c r="M39" i="11" s="1"/>
  <c r="G26" i="11"/>
  <c r="I26" i="11" s="1"/>
  <c r="K26" i="11" s="1"/>
  <c r="M26" i="11" s="1"/>
  <c r="G44" i="11"/>
  <c r="I44" i="11" s="1"/>
  <c r="K44" i="11" s="1"/>
  <c r="M44" i="11" s="1"/>
  <c r="G30" i="11"/>
  <c r="I30" i="11" s="1"/>
  <c r="K30" i="11" s="1"/>
  <c r="M30" i="11" s="1"/>
  <c r="N1421" i="10"/>
  <c r="G31" i="11"/>
  <c r="I31" i="11" s="1"/>
  <c r="K31" i="11" s="1"/>
  <c r="M31" i="11" s="1"/>
  <c r="N1231" i="10"/>
  <c r="N1116" i="10"/>
  <c r="N1104" i="10"/>
  <c r="N1046" i="10"/>
  <c r="N1043" i="10"/>
  <c r="N934" i="10"/>
  <c r="G40" i="11"/>
  <c r="I40" i="11" s="1"/>
  <c r="K40" i="11" s="1"/>
  <c r="M40" i="11" s="1"/>
  <c r="G27" i="11"/>
  <c r="I27" i="11" s="1"/>
  <c r="K27" i="11" s="1"/>
  <c r="M27" i="11" s="1"/>
  <c r="G41" i="11"/>
  <c r="I41" i="11" s="1"/>
  <c r="K41" i="11" s="1"/>
  <c r="M41" i="11" s="1"/>
  <c r="G28" i="11"/>
  <c r="I28" i="11" s="1"/>
  <c r="K28" i="11" s="1"/>
  <c r="M28" i="11" s="1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104" i="11"/>
  <c r="I104" i="11" s="1"/>
  <c r="K104" i="11" s="1"/>
  <c r="M104" i="11" s="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128" i="11"/>
  <c r="I128" i="11" s="1"/>
  <c r="K128" i="11" s="1"/>
  <c r="M128" i="11" s="1"/>
  <c r="G45" i="11"/>
  <c r="I45" i="11" s="1"/>
  <c r="K45" i="11" s="1"/>
  <c r="M45" i="11" s="1"/>
  <c r="G92" i="11"/>
  <c r="I92" i="11" s="1"/>
  <c r="K92" i="11" s="1"/>
  <c r="M92" i="11" s="1"/>
  <c r="G99" i="11"/>
  <c r="I99" i="11" s="1"/>
  <c r="K99" i="11" s="1"/>
  <c r="M99" i="11" s="1"/>
  <c r="G107" i="11"/>
  <c r="I107" i="11" s="1"/>
  <c r="K107" i="11" s="1"/>
  <c r="M107" i="11" s="1"/>
  <c r="G134" i="11"/>
  <c r="I134" i="11" s="1"/>
  <c r="K134" i="11" s="1"/>
  <c r="M134" i="11" s="1"/>
  <c r="G119" i="11"/>
  <c r="I119" i="11" s="1"/>
  <c r="K119" i="11" s="1"/>
  <c r="M119" i="11" s="1"/>
  <c r="G139" i="11"/>
  <c r="I139" i="11" s="1"/>
  <c r="K139" i="11" s="1"/>
  <c r="M139" i="11" s="1"/>
  <c r="G89" i="11"/>
  <c r="I89" i="11" s="1"/>
  <c r="K89" i="11" s="1"/>
  <c r="M89" i="11" s="1"/>
  <c r="G82" i="11"/>
  <c r="I82" i="11" s="1"/>
  <c r="K82" i="11" s="1"/>
  <c r="M82" i="11" s="1"/>
  <c r="G127" i="11"/>
  <c r="I127" i="11" s="1"/>
  <c r="K127" i="11" s="1"/>
  <c r="M127" i="11" s="1"/>
  <c r="G105" i="11"/>
  <c r="I105" i="11" s="1"/>
  <c r="G18" i="11"/>
  <c r="J18" i="11" s="1"/>
  <c r="K18" i="11" s="1"/>
  <c r="M18" i="11" s="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G171" i="11"/>
  <c r="G36" i="11"/>
  <c r="I36" i="11" s="1"/>
  <c r="K36" i="11" s="1"/>
  <c r="M36" i="11" s="1"/>
  <c r="G172" i="11"/>
  <c r="H172" i="11" s="1"/>
  <c r="G176" i="11"/>
  <c r="I176" i="11" s="1"/>
  <c r="K176" i="11" s="1"/>
  <c r="M176" i="11" s="1"/>
  <c r="G37" i="11"/>
  <c r="I37" i="11" s="1"/>
  <c r="K37" i="11" s="1"/>
  <c r="M37" i="11" s="1"/>
  <c r="L248" i="10"/>
  <c r="L226" i="10"/>
  <c r="N226" i="10" s="1"/>
  <c r="L218" i="10"/>
  <c r="N218" i="10" s="1"/>
  <c r="G103" i="11"/>
  <c r="G98" i="11"/>
  <c r="I98" i="11" s="1"/>
  <c r="K98" i="11" s="1"/>
  <c r="M98" i="11" s="1"/>
  <c r="G93" i="11"/>
  <c r="I93" i="11" s="1"/>
  <c r="K93" i="11" s="1"/>
  <c r="M93" i="11" s="1"/>
  <c r="G106" i="11"/>
  <c r="I106" i="11" s="1"/>
  <c r="K106" i="11" s="1"/>
  <c r="M106" i="11" s="1"/>
  <c r="G125" i="11"/>
  <c r="I125" i="11" s="1"/>
  <c r="K125" i="11" s="1"/>
  <c r="M125" i="11" s="1"/>
  <c r="G124" i="11"/>
  <c r="I124" i="11" s="1"/>
  <c r="K124" i="11" s="1"/>
  <c r="M124" i="11" s="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87" i="11"/>
  <c r="I87" i="11" s="1"/>
  <c r="K87" i="11" s="1"/>
  <c r="M87" i="11" s="1"/>
  <c r="G118" i="11"/>
  <c r="I118" i="11" s="1"/>
  <c r="K118" i="11" s="1"/>
  <c r="M118" i="11" s="1"/>
  <c r="G138" i="11"/>
  <c r="I138" i="11" s="1"/>
  <c r="K138" i="11" s="1"/>
  <c r="M138" i="11" s="1"/>
  <c r="G167" i="11"/>
  <c r="H167" i="11" s="1"/>
  <c r="K167" i="11" s="1"/>
  <c r="M167" i="11" s="1"/>
  <c r="G74" i="11"/>
  <c r="H74" i="11" s="1"/>
  <c r="K74" i="11" s="1"/>
  <c r="G38" i="11"/>
  <c r="I38" i="11" s="1"/>
  <c r="K38" i="11" s="1"/>
  <c r="M38" i="11" s="1"/>
  <c r="G78" i="11"/>
  <c r="I78" i="11" s="1"/>
  <c r="K78" i="11" s="1"/>
  <c r="M78" i="11" s="1"/>
  <c r="G120" i="11"/>
  <c r="I120" i="11" s="1"/>
  <c r="K120" i="11" s="1"/>
  <c r="M120" i="11" s="1"/>
  <c r="G140" i="11"/>
  <c r="I140" i="11" s="1"/>
  <c r="K140" i="11" s="1"/>
  <c r="M140" i="11" s="1"/>
  <c r="G90" i="11"/>
  <c r="I90" i="11" s="1"/>
  <c r="K90" i="11" s="1"/>
  <c r="M90" i="11" s="1"/>
  <c r="N1315" i="10"/>
  <c r="N986" i="10"/>
  <c r="I171" i="11"/>
  <c r="H171" i="11"/>
  <c r="J105" i="11"/>
  <c r="I172" i="11"/>
  <c r="J172" i="11"/>
  <c r="J165" i="11"/>
  <c r="I165" i="11"/>
  <c r="I103" i="11"/>
  <c r="J103" i="11"/>
  <c r="N1238" i="10"/>
  <c r="N1122" i="10"/>
  <c r="G173" i="11"/>
  <c r="H173" i="11" s="1"/>
  <c r="L135" i="10"/>
  <c r="N135" i="10" s="1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G112" i="11"/>
  <c r="I112" i="11" s="1"/>
  <c r="K112" i="11" s="1"/>
  <c r="M112" i="11" s="1"/>
  <c r="G174" i="11"/>
  <c r="N1402" i="10"/>
  <c r="N1363" i="10"/>
  <c r="N1280" i="10"/>
  <c r="N1237" i="10"/>
  <c r="N1232" i="10"/>
  <c r="N903" i="10"/>
  <c r="N639" i="10"/>
  <c r="L186" i="10"/>
  <c r="N186" i="10" s="1"/>
  <c r="G110" i="11"/>
  <c r="G111" i="11"/>
  <c r="G114" i="11"/>
  <c r="I114" i="11" s="1"/>
  <c r="K114" i="11" s="1"/>
  <c r="M114" i="11" s="1"/>
  <c r="G175" i="11"/>
  <c r="N1337" i="10"/>
  <c r="N1282" i="10"/>
  <c r="N1270" i="10"/>
  <c r="N1105" i="10"/>
  <c r="G177" i="11"/>
  <c r="L146" i="10"/>
  <c r="L90" i="10"/>
  <c r="N90" i="10" s="1"/>
  <c r="G116" i="11"/>
  <c r="L127" i="10"/>
  <c r="N108" i="10"/>
  <c r="G164" i="11"/>
  <c r="I164" i="11" s="1"/>
  <c r="K164" i="11" s="1"/>
  <c r="M164" i="11" s="1"/>
  <c r="L234" i="10"/>
  <c r="N1422" i="10"/>
  <c r="N709" i="10"/>
  <c r="N662" i="10"/>
  <c r="N600" i="10"/>
  <c r="L230" i="10"/>
  <c r="N230" i="10" s="1"/>
  <c r="L137" i="10"/>
  <c r="N137" i="10" s="1"/>
  <c r="G115" i="11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2" i="10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 s="1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F285" i="29" s="1"/>
  <c r="C280" i="29"/>
  <c r="D280" i="29" s="1"/>
  <c r="F280" i="29" s="1"/>
  <c r="C245" i="29"/>
  <c r="D245" i="29" s="1"/>
  <c r="F245" i="29" s="1"/>
  <c r="C309" i="29"/>
  <c r="D309" i="29" s="1"/>
  <c r="F309" i="29" s="1"/>
  <c r="C267" i="29"/>
  <c r="D267" i="29" s="1"/>
  <c r="F267" i="29" s="1"/>
  <c r="C243" i="29"/>
  <c r="D243" i="29" s="1"/>
  <c r="F243" i="29" s="1"/>
  <c r="C234" i="29"/>
  <c r="D234" i="29" s="1"/>
  <c r="E234" i="29" s="1"/>
  <c r="C315" i="29"/>
  <c r="D315" i="29" s="1"/>
  <c r="E315" i="29" s="1"/>
  <c r="N9" i="10"/>
  <c r="C228" i="29"/>
  <c r="D228" i="29" s="1"/>
  <c r="E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C324" i="29" l="1"/>
  <c r="D324" i="29" s="1"/>
  <c r="E324" i="29" s="1"/>
  <c r="C293" i="29"/>
  <c r="D293" i="29" s="1"/>
  <c r="E293" i="29" s="1"/>
  <c r="C235" i="29"/>
  <c r="D235" i="29" s="1"/>
  <c r="E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F265" i="29" s="1"/>
  <c r="C283" i="29"/>
  <c r="D283" i="29" s="1"/>
  <c r="E283" i="29" s="1"/>
  <c r="C273" i="29"/>
  <c r="D273" i="29" s="1"/>
  <c r="F273" i="29" s="1"/>
  <c r="C271" i="29"/>
  <c r="D271" i="29" s="1"/>
  <c r="E271" i="29" s="1"/>
  <c r="C229" i="29"/>
  <c r="D229" i="29" s="1"/>
  <c r="E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E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115" i="11"/>
  <c r="J115" i="11"/>
  <c r="I174" i="11"/>
  <c r="H174" i="11"/>
  <c r="I175" i="11"/>
  <c r="J175" i="11"/>
  <c r="H111" i="11"/>
  <c r="I111" i="11"/>
  <c r="K171" i="11"/>
  <c r="K172" i="11"/>
  <c r="M172" i="11" s="1"/>
  <c r="I116" i="11"/>
  <c r="J116" i="11"/>
  <c r="I173" i="11"/>
  <c r="J173" i="11"/>
  <c r="K105" i="11"/>
  <c r="M105" i="11" s="1"/>
  <c r="K165" i="11"/>
  <c r="M165" i="11" s="1"/>
  <c r="H110" i="11"/>
  <c r="J110" i="11"/>
  <c r="I177" i="11"/>
  <c r="J177" i="11"/>
  <c r="K103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E267" i="29"/>
  <c r="E243" i="29"/>
  <c r="F234" i="29"/>
  <c r="E245" i="29"/>
  <c r="F274" i="29"/>
  <c r="E285" i="29"/>
  <c r="F317" i="29"/>
  <c r="F270" i="29"/>
  <c r="F263" i="29"/>
  <c r="E309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280" i="10" s="1"/>
  <c r="N280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F286" i="29" l="1"/>
  <c r="E265" i="29"/>
  <c r="F287" i="29"/>
  <c r="F229" i="29"/>
  <c r="F278" i="29"/>
  <c r="F293" i="29"/>
  <c r="E236" i="29"/>
  <c r="F314" i="29"/>
  <c r="F271" i="29"/>
  <c r="F246" i="29"/>
  <c r="F240" i="29"/>
  <c r="E260" i="29"/>
  <c r="E299" i="29"/>
  <c r="E321" i="29"/>
  <c r="F308" i="29"/>
  <c r="F249" i="29"/>
  <c r="F253" i="29"/>
  <c r="E311" i="29"/>
  <c r="E227" i="29"/>
  <c r="E273" i="29"/>
  <c r="E277" i="29"/>
  <c r="F232" i="29"/>
  <c r="F316" i="29"/>
  <c r="F305" i="29"/>
  <c r="F275" i="29"/>
  <c r="F304" i="29"/>
  <c r="E261" i="29"/>
  <c r="E247" i="29"/>
  <c r="F283" i="29"/>
  <c r="E282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115" i="11"/>
  <c r="M115" i="11" s="1"/>
  <c r="K111" i="11"/>
  <c r="M111" i="11" s="1"/>
  <c r="K175" i="11"/>
  <c r="M175" i="11" s="1"/>
  <c r="K174" i="11"/>
  <c r="M174" i="11" s="1"/>
  <c r="F279" i="29"/>
  <c r="F244" i="29"/>
  <c r="K116" i="11"/>
  <c r="M116" i="11" s="1"/>
  <c r="K173" i="11"/>
  <c r="M173" i="11" s="1"/>
  <c r="E300" i="29"/>
  <c r="K110" i="11"/>
  <c r="J180" i="11"/>
  <c r="I180" i="11"/>
  <c r="I182" i="11" s="1"/>
  <c r="I183" i="11" s="1"/>
  <c r="F224" i="29"/>
  <c r="K177" i="11"/>
  <c r="M177" i="11" s="1"/>
  <c r="H180" i="11"/>
  <c r="H182" i="11" s="1"/>
  <c r="H183" i="11" s="1"/>
  <c r="F292" i="29"/>
  <c r="F57" i="39"/>
  <c r="F61" i="39"/>
  <c r="A11" i="54"/>
  <c r="O10" i="54"/>
  <c r="F322" i="29"/>
  <c r="F343" i="29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184" i="10"/>
  <c r="N184" i="10" s="1"/>
  <c r="M243" i="10"/>
  <c r="N243" i="10" s="1"/>
  <c r="M595" i="10"/>
  <c r="N595" i="10" s="1"/>
  <c r="M191" i="10"/>
  <c r="N191" i="10" s="1"/>
  <c r="M354" i="10"/>
  <c r="N354" i="10" s="1"/>
  <c r="M271" i="10"/>
  <c r="N271" i="10" s="1"/>
  <c r="M622" i="10"/>
  <c r="N622" i="10" s="1"/>
  <c r="M237" i="10"/>
  <c r="N237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39" i="10"/>
  <c r="N23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128" i="10"/>
  <c r="N128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1456" i="10"/>
  <c r="N1456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148" i="10"/>
  <c r="N148" i="10" s="1"/>
  <c r="M345" i="10"/>
  <c r="N345" i="10" s="1"/>
  <c r="M436" i="10"/>
  <c r="N436" i="10" s="1"/>
  <c r="M177" i="10"/>
  <c r="N177" i="10" s="1"/>
  <c r="M251" i="10"/>
  <c r="N251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248" i="10"/>
  <c r="N24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127" i="10"/>
  <c r="N127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126" i="10"/>
  <c r="N126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150" i="10"/>
  <c r="N150" i="10" s="1"/>
  <c r="M567" i="10"/>
  <c r="N567" i="10" s="1"/>
  <c r="M558" i="10"/>
  <c r="N558" i="10" s="1"/>
  <c r="M263" i="10"/>
  <c r="N263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203" i="10"/>
  <c r="N203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190" i="10"/>
  <c r="N190" i="10" s="1"/>
  <c r="M489" i="10"/>
  <c r="N489" i="10" s="1"/>
  <c r="M234" i="10"/>
  <c r="N234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151" i="10"/>
  <c r="N151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149" i="10"/>
  <c r="N149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276" i="10"/>
  <c r="N276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189" i="10"/>
  <c r="N189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202" i="10"/>
  <c r="N202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339" i="29"/>
  <c r="F345" i="29"/>
  <c r="K180" i="11"/>
  <c r="K182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84" i="11"/>
  <c r="I18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182" i="11" l="1"/>
  <c r="K183" i="11"/>
  <c r="K184" i="11" l="1"/>
  <c r="J183" i="11"/>
  <c r="J184" i="11" s="1"/>
  <c r="D10" i="59" l="1"/>
  <c r="B185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<sst xmlns="http://schemas.openxmlformats.org/spreadsheetml/2006/main" count="4871" uniqueCount="1651">
  <si>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</si>
  <si>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</si>
  <si>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</si>
  <si>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</si>
  <si>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</si>
  <si>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</si>
  <si>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</si>
  <si>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</si>
  <si>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</si>
  <si>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</si>
  <si>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</si>
  <si>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</si>
  <si>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</si>
  <si>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</si>
  <si>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</si>
  <si>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</si>
  <si>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</si>
  <si>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</si>
  <si>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</si>
  <si>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</si>
  <si>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</si>
  <si>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</si>
  <si>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</si>
  <si>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</si>
  <si>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</si>
  <si>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</si>
  <si>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</si>
  <si>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</si>
  <si>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</si>
  <si>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</si>
  <si>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</si>
  <si>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</si>
  <si>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</si>
  <si>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</si>
  <si>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</si>
  <si>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</si>
  <si>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</si>
  <si>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</si>
  <si>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</si>
  <si>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</si>
  <si>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</si>
  <si>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</si>
  <si>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</si>
  <si>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</si>
  <si>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</si>
  <si>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</si>
  <si>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</si>
  <si>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</si>
  <si>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</si>
  <si>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</si>
  <si>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</si>
  <si>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</si>
  <si>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</si>
  <si>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</si>
  <si>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</si>
  <si>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</si>
  <si>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</si>
  <si>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</si>
  <si>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</si>
  <si>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</si>
  <si>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</si>
  <si>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</si>
  <si>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</si>
  <si>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</si>
  <si>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</si>
  <si>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</si>
  <si>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</si>
  <si>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</si>
  <si>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</si>
  <si>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</si>
  <si>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</si>
  <si>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</si>
  <si>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</si>
  <si>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</si>
  <si>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</si>
  <si>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</si>
  <si>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</si>
  <si>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</si>
  <si>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</si>
  <si>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</si>
  <si>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</si>
  <si>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</si>
  <si>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</si>
  <si>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</si>
  <si>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</si>
  <si>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</si>
  <si>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</si>
  <si>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</si>
  <si>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</si>
  <si>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</si>
  <si>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</si>
  <si>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</si>
  <si>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</si>
  <si>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</si>
  <si>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</si>
  <si>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</si>
  <si>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</si>
  <si>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</si>
  <si>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</si>
  <si>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</si>
  <si>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</si>
  <si>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</si>
  <si>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</si>
  <si>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</si>
  <si>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</si>
  <si>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</si>
  <si>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</si>
  <si>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</si>
  <si>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</si>
  <si>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</si>
  <si>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</si>
  <si>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</si>
  <si>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</si>
  <si>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</si>
  <si>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</si>
  <si>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</si>
  <si>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</si>
  <si>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</si>
  <si>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</si>
  <si>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</si>
  <si>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</si>
  <si>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</si>
  <si>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</si>
  <si>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</si>
  <si>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</si>
  <si>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</si>
  <si>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</si>
  <si>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</si>
  <si>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</si>
  <si>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</si>
  <si>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</si>
  <si>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</si>
  <si>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</si>
  <si>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</si>
  <si>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</si>
  <si>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</si>
  <si>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</si>
  <si>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</si>
  <si>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</si>
  <si>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</si>
  <si>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</si>
  <si>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</si>
  <si>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</si>
  <si>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</si>
  <si>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</si>
  <si>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</si>
  <si>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</si>
  <si>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</si>
  <si>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</si>
  <si>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</si>
  <si>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</si>
  <si>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</si>
  <si>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</si>
  <si>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</si>
  <si>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</si>
  <si>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</si>
  <si>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</si>
  <si>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</si>
  <si>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</si>
  <si>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</si>
  <si>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</si>
  <si>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</si>
  <si>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</si>
  <si>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</si>
  <si>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</si>
  <si>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</si>
  <si>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</si>
  <si>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</si>
  <si>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</si>
  <si>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</si>
  <si>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</si>
  <si>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</si>
  <si>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</si>
  <si>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</si>
  <si>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</si>
  <si>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</si>
  <si>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</si>
  <si>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</si>
  <si>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</si>
  <si>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</si>
  <si>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</si>
  <si>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</si>
  <si>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</si>
  <si>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</si>
  <si>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</si>
  <si>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</si>
  <si>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</si>
  <si>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</si>
  <si>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</si>
  <si>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</si>
  <si>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</si>
  <si>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</si>
  <si>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</si>
  <si>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</si>
  <si>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</si>
  <si>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</si>
  <si>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</si>
  <si>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</si>
  <si>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</si>
  <si>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</si>
  <si>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</si>
  <si>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</si>
  <si>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</si>
  <si>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</si>
  <si>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</si>
  <si>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</si>
  <si>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</si>
  <si>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</si>
  <si>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</si>
  <si>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</si>
  <si>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</si>
  <si>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</si>
  <si>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</si>
  <si>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</si>
  <si>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</si>
  <si>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</si>
  <si>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</si>
  <si>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</si>
  <si>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</si>
  <si>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</si>
  <si>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</si>
  <si>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</si>
  <si>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</si>
  <si>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</si>
  <si>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</si>
  <si>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</si>
  <si>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</si>
  <si>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</si>
  <si>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</si>
  <si>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</si>
  <si>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</si>
  <si>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</si>
  <si>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</si>
  <si>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</si>
  <si>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</si>
  <si>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</si>
  <si>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</si>
  <si>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</si>
  <si>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</si>
  <si>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</si>
  <si>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</si>
  <si>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</si>
  <si>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</si>
  <si>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</si>
  <si>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</si>
  <si>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</si>
  <si>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</si>
  <si>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</si>
  <si>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</si>
  <si>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</si>
  <si>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</si>
  <si>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</si>
  <si>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</si>
  <si>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</si>
  <si>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</si>
  <si>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</si>
  <si>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</si>
  <si>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</si>
  <si>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</si>
  <si>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</si>
  <si>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</si>
  <si>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</si>
  <si>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</si>
  <si>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</si>
  <si>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</si>
  <si>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</si>
  <si>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</si>
  <si>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</si>
  <si>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</si>
  <si>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</si>
  <si>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</si>
  <si>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</si>
  <si>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</si>
  <si>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</si>
  <si>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</si>
  <si>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</si>
  <si>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</si>
  <si>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</si>
  <si>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</si>
  <si>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</si>
  <si>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</si>
  <si>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</si>
  <si>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</si>
  <si>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</si>
  <si>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</si>
  <si>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</si>
  <si>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</si>
  <si>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</si>
  <si>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</si>
  <si>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</si>
  <si>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</si>
  <si>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</si>
  <si>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</si>
  <si>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</si>
  <si>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</si>
  <si>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</si>
  <si>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</si>
  <si>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</si>
  <si>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</si>
  <si>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</si>
  <si>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</si>
  <si>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</si>
  <si>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</si>
  <si>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</si>
  <si>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</si>
  <si>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</si>
  <si>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</si>
  <si>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</si>
  <si>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</si>
  <si>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</si>
  <si>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</si>
  <si>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</si>
  <si>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</si>
  <si>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</si>
  <si>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</si>
  <si>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</si>
  <si>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</si>
  <si>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</si>
  <si>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</si>
  <si>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</si>
  <si>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</si>
  <si>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</si>
  <si>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</si>
  <si>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</si>
  <si>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</si>
  <si>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</si>
  <si>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</si>
  <si>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</si>
  <si>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</si>
  <si>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</si>
  <si>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</si>
  <si>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</si>
  <si>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</si>
  <si>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</si>
  <si>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</si>
  <si>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</si>
  <si>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</si>
  <si>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</si>
  <si>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</si>
  <si>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</si>
  <si>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</si>
  <si>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</si>
  <si>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</si>
  <si>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</si>
  <si>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</si>
  <si>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</si>
  <si>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</si>
  <si>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</si>
  <si>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</si>
  <si>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</si>
  <si>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</si>
  <si>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</si>
  <si>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</si>
  <si>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</si>
  <si>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</si>
  <si>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</si>
  <si>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</si>
  <si>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</si>
  <si>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</si>
  <si>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</si>
  <si>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</si>
  <si>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</si>
  <si>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</si>
  <si>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</si>
  <si>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</si>
  <si>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</si>
  <si>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</si>
  <si>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</si>
  <si>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</si>
  <si>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</si>
  <si>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</si>
  <si>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</si>
  <si>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</si>
  <si>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</si>
  <si>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</si>
  <si>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</si>
  <si>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</si>
  <si>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</si>
  <si>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</si>
  <si>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</si>
  <si>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</si>
  <si>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</si>
  <si>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</si>
  <si>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</si>
  <si>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</si>
  <si>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</si>
  <si>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</si>
  <si>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</si>
  <si>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</si>
  <si>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</si>
  <si>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</si>
  <si>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</si>
  <si>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</si>
  <si>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</si>
  <si>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</si>
  <si>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</si>
  <si>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</si>
  <si>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</si>
  <si>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</si>
  <si>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</si>
  <si>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</si>
  <si>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</si>
  <si>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</si>
  <si>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</si>
  <si>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</si>
  <si>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</si>
  <si>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</si>
  <si>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</si>
  <si>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</si>
  <si>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</si>
  <si>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</si>
  <si>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</si>
  <si>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</si>
  <si>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</si>
  <si>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</si>
  <si>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</si>
  <si>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</si>
  <si>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</si>
  <si>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</si>
  <si>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</si>
  <si>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</si>
  <si>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</si>
  <si>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</si>
  <si>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</si>
  <si>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</si>
  <si>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</si>
  <si>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</si>
  <si>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</si>
  <si>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</si>
  <si>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</si>
  <si>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</si>
  <si>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</si>
  <si>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</si>
  <si>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</si>
  <si>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</si>
  <si>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</si>
  <si>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</si>
  <si>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</si>
  <si>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</si>
  <si>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</si>
  <si>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</si>
  <si>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</si>
  <si>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</si>
  <si>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</si>
  <si>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</si>
  <si>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</si>
  <si>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</si>
  <si>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</si>
  <si>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</si>
  <si>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</si>
  <si>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</si>
  <si>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</si>
  <si>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</si>
  <si>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</si>
  <si>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</si>
  <si>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</si>
  <si>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</si>
  <si>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</si>
  <si>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</si>
  <si>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</si>
  <si>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</si>
  <si>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</si>
  <si>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</si>
  <si>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</si>
  <si>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</si>
  <si>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</si>
  <si>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</si>
  <si>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</si>
  <si>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</si>
  <si>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</si>
  <si>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</si>
  <si>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</si>
  <si>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</si>
  <si>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</si>
  <si>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</si>
  <si>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</si>
  <si>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</si>
  <si>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</si>
  <si>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</si>
  <si>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</si>
  <si>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</si>
  <si>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</si>
  <si>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</si>
  <si>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</si>
  <si>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</si>
  <si>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</si>
  <si>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</si>
  <si>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</si>
  <si>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</si>
  <si>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</si>
  <si>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</si>
  <si>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</si>
  <si>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</si>
  <si>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</si>
  <si>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</si>
  <si>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</si>
  <si>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</si>
  <si>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</si>
  <si>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</si>
  <si>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</si>
  <si>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</si>
  <si>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</si>
  <si>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</si>
  <si>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</si>
  <si>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</si>
  <si>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</si>
  <si>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</si>
  <si>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</si>
  <si>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</si>
  <si>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</si>
  <si>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</si>
  <si>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</si>
  <si>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</si>
  <si>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</si>
  <si>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</si>
  <si>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</si>
  <si>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</si>
  <si>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</si>
  <si>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</si>
  <si>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</si>
  <si>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</si>
  <si>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</si>
  <si>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</si>
  <si>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</si>
  <si>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</si>
  <si>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</si>
  <si>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</si>
  <si>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</si>
  <si>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</si>
  <si>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</si>
  <si>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</si>
  <si>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</si>
  <si>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</si>
  <si>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</si>
  <si>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</si>
  <si>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</si>
  <si>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</si>
  <si>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</si>
  <si>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</si>
  <si>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</si>
  <si>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</si>
  <si>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</si>
  <si>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</si>
  <si>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</si>
  <si>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</si>
  <si>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</si>
  <si>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</si>
  <si>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</si>
  <si>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</si>
  <si>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</si>
  <si>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</si>
  <si>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</si>
  <si>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</si>
  <si>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</si>
  <si>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</si>
  <si>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</si>
  <si>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</si>
  <si>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</si>
  <si>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</si>
  <si>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</si>
  <si>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</si>
  <si>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</si>
  <si>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</si>
  <si>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</si>
  <si>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</si>
  <si>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</si>
  <si>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</si>
  <si>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</si>
  <si>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</si>
  <si>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</si>
  <si>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</si>
  <si>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</si>
  <si>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</si>
  <si>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</si>
  <si>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</si>
  <si>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</si>
  <si>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</si>
  <si>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</si>
  <si>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</si>
  <si>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</si>
  <si>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</si>
  <si>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</si>
  <si>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</si>
  <si>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</si>
  <si>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</si>
  <si>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</si>
  <si>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</si>
  <si>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</si>
  <si>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</si>
  <si>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</si>
  <si>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</si>
  <si>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</si>
  <si>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</si>
  <si>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</si>
  <si>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</si>
  <si>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</si>
  <si>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</si>
  <si>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</si>
  <si>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</si>
  <si>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</si>
  <si>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</si>
  <si>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</si>
  <si>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</si>
  <si>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</si>
  <si>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</si>
  <si>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</si>
  <si>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</si>
  <si>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</si>
  <si>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</si>
  <si>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</si>
  <si>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</si>
  <si>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</si>
  <si>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</si>
  <si>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</si>
  <si>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</si>
  <si>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</si>
  <si>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</si>
  <si>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</si>
  <si>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</si>
  <si>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</si>
  <si>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</si>
  <si>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</si>
  <si>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</si>
  <si>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</si>
  <si>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</si>
  <si>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</si>
  <si>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</si>
  <si>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</si>
  <si>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</si>
  <si>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</si>
  <si>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</si>
  <si>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</si>
  <si>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</si>
  <si>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</si>
  <si>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</si>
  <si>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</si>
  <si>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</si>
  <si>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</si>
  <si>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</si>
  <si>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</si>
  <si>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</si>
  <si>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</si>
  <si>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</si>
  <si>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</si>
  <si>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</si>
  <si>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</si>
  <si>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</si>
  <si>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</si>
  <si>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</si>
  <si>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</si>
  <si>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</si>
  <si>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</si>
  <si>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</si>
  <si>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</si>
  <si>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</si>
  <si>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</si>
  <si>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</si>
  <si>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</si>
  <si>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</si>
  <si>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</si>
  <si>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</si>
  <si>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</si>
  <si>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</si>
  <si>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</si>
  <si>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</si>
  <si>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</si>
  <si>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</si>
  <si>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</si>
  <si>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</si>
  <si>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</si>
  <si>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</si>
  <si>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</si>
  <si>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</si>
  <si>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</si>
  <si>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</si>
  <si>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</si>
  <si>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</si>
  <si>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</si>
  <si>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</si>
  <si>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</si>
  <si>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</si>
  <si>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</si>
  <si>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</si>
  <si>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</si>
  <si>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</si>
  <si>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</si>
  <si>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</si>
  <si>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</si>
  <si>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</si>
  <si>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</si>
  <si>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</si>
  <si>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</si>
  <si>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</si>
  <si>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</si>
  <si>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</si>
  <si>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</si>
  <si>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</si>
  <si>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</si>
  <si>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</si>
  <si>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</si>
  <si>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</si>
  <si>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</si>
  <si>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</si>
  <si>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</si>
  <si>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</si>
  <si>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</si>
  <si>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</si>
  <si>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</si>
  <si>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</si>
  <si>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</si>
  <si>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</si>
  <si>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</si>
  <si>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</si>
  <si>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</si>
  <si>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</si>
  <si>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</si>
  <si>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</si>
  <si>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</si>
  <si>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</si>
  <si>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</si>
  <si>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</si>
  <si>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</si>
  <si>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</si>
  <si>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</si>
  <si>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</si>
  <si>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</si>
  <si>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</si>
  <si>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</si>
  <si>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</si>
  <si>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</si>
  <si>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</si>
  <si>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</si>
  <si>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</si>
  <si>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</si>
  <si>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</si>
  <si>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</si>
  <si>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</si>
  <si>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</si>
  <si>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</si>
  <si>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</si>
  <si>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</si>
  <si>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</si>
  <si>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</si>
  <si>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</si>
  <si>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</si>
  <si>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</si>
  <si>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</si>
  <si>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</si>
  <si>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</si>
  <si>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</si>
  <si>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</si>
  <si>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</si>
  <si>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</si>
  <si>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</si>
  <si>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</si>
  <si>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</si>
  <si>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</si>
  <si>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</si>
  <si>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</si>
  <si>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</si>
  <si>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</si>
  <si>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</si>
  <si>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</si>
  <si>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</si>
  <si>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</si>
  <si>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</si>
  <si>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</si>
  <si>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</si>
  <si>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</si>
  <si>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</si>
  <si>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</si>
  <si>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</si>
  <si>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</si>
  <si>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</si>
  <si>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</si>
  <si>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</si>
  <si>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</si>
  <si>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</si>
  <si>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</si>
  <si>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</si>
  <si>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</si>
  <si>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</si>
  <si>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</si>
  <si>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</si>
  <si>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</si>
  <si>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</si>
  <si>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</si>
  <si>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</si>
  <si>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</si>
  <si>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</si>
  <si>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</si>
  <si>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</si>
  <si>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</si>
  <si>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</si>
  <si>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</si>
  <si>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</si>
  <si>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</si>
  <si>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</si>
  <si>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</si>
  <si>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</si>
  <si>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</si>
  <si>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</si>
  <si>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</si>
  <si>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</si>
  <si>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</si>
  <si>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</si>
  <si>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</si>
  <si>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</si>
  <si>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</si>
  <si>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</si>
  <si>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</si>
  <si>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</si>
  <si>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</si>
  <si>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</si>
  <si>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</si>
  <si>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</si>
  <si>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</si>
  <si>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</si>
  <si>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</si>
  <si>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</si>
  <si>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</si>
  <si>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</si>
  <si>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</si>
  <si>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</si>
  <si>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</si>
  <si>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</si>
  <si>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</si>
  <si>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</si>
  <si>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</si>
  <si>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</si>
  <si>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</si>
  <si>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</si>
  <si>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</si>
  <si>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</si>
  <si>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</si>
  <si>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</si>
  <si>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</si>
  <si>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</si>
  <si>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</si>
  <si>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</si>
  <si>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</si>
  <si>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</si>
  <si>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</si>
  <si>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</si>
  <si>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</si>
  <si>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</si>
  <si>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</si>
  <si>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</si>
  <si>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</si>
  <si>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</si>
  <si>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</si>
  <si>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</si>
  <si>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</si>
  <si>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</si>
  <si>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</si>
  <si>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</si>
  <si>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</si>
  <si>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</si>
  <si>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</si>
  <si>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</si>
  <si>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</si>
  <si>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</si>
  <si>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</si>
  <si>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</si>
  <si>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</si>
  <si>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</si>
  <si>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</si>
  <si>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</si>
  <si>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</si>
  <si>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</si>
  <si>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</si>
  <si>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</si>
  <si>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</si>
  <si>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</si>
  <si>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</si>
  <si>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</si>
  <si>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</si>
  <si>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</si>
  <si>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</si>
  <si>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</si>
  <si>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</si>
  <si>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</si>
  <si>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</si>
  <si>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</si>
  <si>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</si>
  <si>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</si>
  <si>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</si>
  <si>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</si>
  <si>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</si>
  <si>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</si>
  <si>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</si>
  <si>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</si>
  <si>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</si>
  <si>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</si>
  <si>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</si>
  <si>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</si>
  <si>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</si>
  <si>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</si>
  <si>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</si>
  <si>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</si>
  <si>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</si>
  <si>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</si>
  <si>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</si>
  <si>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</si>
  <si>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</si>
  <si>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</si>
  <si>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</si>
  <si>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</si>
  <si>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</si>
  <si>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</si>
  <si>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</si>
  <si>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</si>
  <si>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</si>
  <si>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</si>
  <si>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</si>
  <si>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</si>
  <si>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</si>
  <si>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</si>
  <si>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</si>
  <si>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</si>
  <si>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</si>
  <si>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</si>
  <si>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</si>
  <si>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</si>
  <si>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</si>
  <si>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</si>
  <si>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</si>
  <si>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</si>
  <si>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</si>
  <si>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</si>
  <si>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</si>
  <si>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</si>
  <si>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</si>
  <si>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</si>
  <si>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</si>
  <si>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</si>
  <si>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</si>
  <si>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</si>
  <si>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</si>
  <si>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</si>
  <si>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</si>
  <si>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</si>
  <si>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</si>
  <si>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</si>
  <si>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</si>
  <si>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</si>
  <si>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</si>
  <si>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</si>
  <si>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</si>
  <si>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</si>
  <si>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</si>
  <si>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</si>
  <si>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</si>
  <si>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</si>
  <si>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</si>
  <si>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</si>
  <si>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</si>
  <si>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</si>
  <si>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</si>
  <si>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</si>
  <si>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</si>
  <si>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</si>
  <si>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</si>
  <si>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</si>
  <si>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</si>
  <si>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</si>
  <si>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</si>
  <si>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</si>
  <si>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</si>
  <si>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</si>
  <si>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</si>
  <si>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</si>
  <si>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</si>
  <si>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</si>
  <si>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</si>
  <si>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</si>
  <si>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</si>
  <si>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</si>
  <si>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</si>
  <si>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</si>
  <si>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</si>
  <si>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</si>
  <si>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</si>
  <si>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</si>
  <si>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</si>
  <si>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</si>
  <si>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</si>
  <si>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</si>
  <si>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</si>
  <si>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</si>
  <si>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</si>
  <si>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</si>
  <si>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</si>
  <si>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</si>
  <si>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</si>
  <si>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</si>
  <si>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</si>
  <si>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</si>
  <si>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</si>
  <si>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</si>
  <si>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</si>
  <si>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</si>
  <si>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</si>
  <si>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</si>
  <si>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</si>
  <si>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</si>
  <si>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</si>
  <si>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</si>
  <si>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</si>
  <si>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</si>
  <si>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</si>
  <si>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</si>
  <si>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</si>
  <si>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</si>
  <si>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</si>
  <si>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</si>
  <si>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</si>
  <si>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</si>
  <si>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</si>
  <si>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</si>
  <si>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</si>
  <si>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</si>
  <si>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</si>
  <si>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</si>
  <si>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</si>
  <si>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</si>
  <si>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</si>
  <si>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</si>
  <si>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</si>
  <si>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</si>
  <si>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</si>
  <si>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</si>
  <si>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</si>
  <si>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</si>
  <si>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</si>
  <si>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</si>
  <si>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</si>
  <si>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</si>
  <si>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</si>
  <si>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</si>
  <si>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</si>
  <si>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</si>
  <si>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</si>
  <si>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</si>
  <si>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</si>
  <si>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</si>
  <si>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</si>
  <si>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</si>
  <si>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</si>
  <si>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</si>
  <si>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</si>
  <si>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</si>
  <si>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</si>
  <si>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</si>
  <si>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</si>
  <si>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</si>
  <si>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</si>
  <si>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</si>
  <si>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</si>
  <si>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</si>
  <si>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</si>
  <si>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</si>
  <si>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</si>
  <si>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</si>
  <si>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</si>
  <si>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</si>
  <si>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</si>
  <si>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</si>
  <si>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</si>
  <si>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</si>
  <si>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</si>
  <si>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</si>
  <si>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</si>
  <si>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</si>
  <si>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</si>
  <si>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</si>
  <si>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</si>
  <si>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</si>
  <si>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</si>
  <si>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</si>
  <si>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</si>
  <si>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</si>
  <si>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</si>
  <si>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</si>
  <si>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</si>
  <si>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</si>
  <si>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</si>
  <si>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</si>
  <si>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</si>
  <si>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</si>
  <si>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</si>
  <si>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</si>
  <si>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</si>
  <si>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</si>
  <si>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</si>
  <si>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</si>
  <si>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</si>
  <si>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</si>
  <si>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</si>
  <si>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</si>
  <si>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</si>
  <si>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</si>
  <si>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</si>
  <si>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</si>
  <si>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</si>
  <si>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</si>
  <si>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</si>
  <si>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</si>
  <si>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</si>
  <si>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</si>
  <si>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</si>
  <si>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</si>
  <si>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</si>
  <si>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</si>
  <si>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</si>
  <si>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</si>
  <si>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</si>
  <si>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</si>
  <si>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</si>
  <si>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</si>
  <si>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</si>
  <si>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</si>
  <si>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</si>
  <si>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</si>
  <si>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</si>
  <si>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</si>
  <si>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</si>
  <si>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</si>
  <si>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</si>
  <si>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</si>
  <si>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</si>
  <si>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</si>
  <si>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</si>
  <si>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</si>
  <si>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</si>
  <si>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</si>
  <si>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</si>
  <si>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</si>
  <si>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</si>
  <si>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</si>
  <si>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</si>
  <si>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</si>
  <si>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</si>
  <si>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</si>
  <si>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</si>
  <si>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</si>
  <si>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</si>
  <si>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</si>
  <si>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</si>
  <si>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</si>
  <si>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</si>
  <si>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</si>
  <si>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</si>
  <si>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</si>
  <si>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</si>
  <si>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</si>
  <si>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</si>
  <si>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</si>
  <si>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</si>
  <si>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</si>
  <si>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</si>
  <si>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</si>
  <si>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</si>
  <si>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</si>
  <si>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</si>
  <si>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</si>
  <si>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</si>
  <si>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</si>
  <si>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</si>
  <si>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</si>
  <si>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</si>
  <si>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</si>
  <si>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</si>
  <si>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</si>
  <si>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</si>
  <si>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</si>
  <si>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</si>
  <si>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</si>
  <si>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</si>
  <si>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</si>
  <si>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</si>
  <si>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</si>
  <si>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</si>
  <si>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</si>
  <si>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</si>
  <si>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</si>
  <si>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</si>
  <si>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</si>
  <si>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</si>
  <si>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</si>
  <si>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</si>
  <si>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</si>
  <si>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</si>
  <si>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</si>
  <si>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</si>
  <si>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</si>
  <si>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</si>
  <si>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</si>
  <si>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</si>
  <si>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</si>
  <si>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</si>
  <si>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</si>
  <si>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</si>
  <si>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</si>
  <si>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</si>
  <si>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</si>
  <si>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</si>
  <si>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</si>
  <si>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</si>
  <si>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</si>
  <si>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</si>
  <si>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</si>
  <si>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</si>
  <si>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</si>
  <si>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</si>
  <si>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</si>
  <si>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</si>
  <si>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</si>
  <si>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</si>
  <si>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</si>
  <si>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</si>
  <si>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</si>
  <si>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</si>
  <si>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</si>
  <si>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</si>
  <si>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</si>
  <si>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</si>
  <si>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</si>
  <si>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</si>
  <si>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</si>
  <si>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</si>
  <si>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</si>
  <si>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</si>
  <si>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</si>
  <si>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</si>
  <si>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</si>
  <si>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</si>
  <si>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</si>
  <si>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</si>
  <si>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</si>
  <si>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</si>
  <si>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</si>
  <si>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</si>
  <si>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</si>
  <si>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</si>
  <si>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</si>
  <si>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</si>
  <si>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</si>
  <si>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</si>
  <si>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</si>
  <si>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</si>
  <si>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</si>
  <si>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</si>
  <si>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</si>
  <si>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</si>
  <si>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</si>
  <si>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</si>
  <si>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</si>
  <si>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</si>
  <si>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</si>
  <si>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</si>
  <si>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</si>
  <si>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</si>
  <si>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</si>
  <si>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</si>
  <si>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</si>
  <si>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</si>
  <si>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</si>
  <si>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</si>
  <si>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</si>
  <si>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</si>
  <si>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</si>
  <si>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</si>
  <si>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</si>
  <si>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</si>
  <si>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</si>
  <si>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</si>
  <si>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</si>
  <si>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</si>
  <si>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</si>
  <si>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</si>
  <si>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</si>
  <si>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</si>
  <si>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</si>
  <si>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</si>
  <si>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</si>
  <si>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</si>
  <si>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</si>
  <si>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</si>
  <si>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</si>
  <si>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</si>
  <si>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</si>
  <si>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</si>
  <si>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</si>
  <si>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</si>
  <si>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</si>
  <si>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</si>
  <si>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</si>
  <si>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</si>
  <si>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</si>
  <si>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</si>
  <si>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</si>
  <si>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</si>
  <si>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</si>
  <si>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</si>
  <si>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</si>
  <si>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</si>
  <si>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</si>
  <si>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</si>
  <si>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</si>
  <si>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</si>
  <si>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</si>
  <si>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</si>
  <si>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</si>
  <si>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</si>
  <si>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</si>
  <si>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</si>
  <si>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</si>
  <si>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</si>
  <si>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</si>
  <si>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</si>
  <si>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</si>
  <si>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</si>
  <si>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</si>
  <si>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</si>
  <si>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</si>
  <si>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</si>
  <si>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</si>
  <si>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</si>
  <si>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</si>
  <si>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</si>
  <si>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</si>
  <si>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</si>
  <si>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</si>
  <si>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</si>
  <si>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</si>
  <si>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</si>
  <si>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</si>
  <si>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</si>
  <si>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</si>
  <si>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</si>
  <si>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</si>
  <si>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</si>
  <si>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</si>
  <si>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</si>
  <si>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</si>
  <si>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</si>
  <si>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</si>
  <si>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</si>
  <si>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</si>
  <si>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</si>
  <si>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</si>
  <si>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</si>
  <si>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</si>
  <si>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</si>
  <si>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</si>
  <si>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</si>
  <si>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</si>
  <si>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</si>
  <si>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</si>
  <si>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</si>
  <si>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</si>
  <si>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</si>
  <si>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</si>
  <si>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</si>
  <si>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</si>
  <si>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</si>
  <si>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</si>
  <si>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</si>
  <si>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</si>
  <si>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</si>
  <si>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</si>
  <si>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</si>
  <si>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</si>
  <si>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</si>
  <si>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</si>
  <si>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</si>
  <si>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</si>
  <si>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</si>
  <si>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</si>
  <si>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</si>
  <si>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</si>
  <si>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</si>
  <si>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</si>
  <si>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</si>
  <si>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</si>
  <si>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</si>
  <si>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</si>
  <si>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</si>
  <si>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</si>
  <si>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</si>
  <si>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</si>
  <si>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</si>
  <si>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</si>
  <si>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</si>
  <si>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</si>
  <si>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</si>
  <si>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</si>
  <si>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</si>
  <si>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</si>
  <si>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</si>
  <si>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</si>
  <si>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</si>
  <si>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</si>
  <si>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</si>
  <si>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</si>
  <si>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</si>
  <si>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</si>
  <si>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</si>
  <si>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</si>
  <si>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</si>
  <si>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</si>
  <si>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</si>
  <si>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</si>
  <si>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</si>
  <si>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</si>
  <si>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</si>
  <si>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</si>
  <si>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</si>
  <si>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</si>
  <si>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</si>
  <si>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</si>
  <si>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</si>
  <si>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</si>
  <si>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</si>
  <si>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</si>
  <si>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</si>
  <si>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</si>
  <si>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</si>
  <si>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</si>
  <si>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</si>
  <si>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</si>
  <si>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</si>
  <si>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</si>
  <si>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</si>
  <si>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</si>
  <si>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</si>
  <si>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</si>
  <si>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</si>
  <si>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</si>
  <si>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</si>
  <si>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</si>
  <si>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</si>
  <si>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</si>
  <si>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</si>
  <si>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</si>
  <si>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</si>
  <si>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</si>
  <si>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</si>
  <si>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</si>
  <si>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</si>
  <si>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</si>
  <si>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</si>
  <si>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</si>
  <si>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</si>
  <si>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</si>
  <si>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</si>
  <si>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</si>
  <si>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</si>
  <si>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</si>
  <si>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</si>
  <si>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</si>
  <si>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</si>
  <si>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</si>
  <si>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</si>
  <si>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</si>
  <si>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</si>
  <si>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</si>
  <si>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</si>
  <si>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</si>
  <si>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</si>
  <si>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</si>
  <si>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</si>
  <si>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</si>
  <si>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</si>
  <si>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</si>
  <si>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</si>
  <si>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</si>
  <si>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</si>
  <si>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</si>
  <si>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</si>
  <si>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</si>
  <si>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</si>
  <si>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</si>
  <si>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</si>
  <si>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</si>
  <si>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</si>
  <si>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</si>
  <si>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</si>
  <si>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</si>
  <si>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</si>
  <si>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</si>
  <si>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</si>
  <si>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</si>
  <si>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</si>
  <si>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</si>
  <si>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</si>
  <si>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</si>
  <si>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</si>
  <si>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</si>
  <si>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</si>
  <si>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</si>
  <si>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</si>
  <si>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</si>
  <si>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</si>
  <si>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</si>
  <si>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</si>
  <si>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</si>
  <si>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</si>
  <si>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</si>
  <si>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</si>
  <si>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</si>
  <si>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</si>
  <si>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</si>
  <si>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</si>
  <si>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</si>
  <si>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</si>
  <si>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</si>
  <si>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</si>
  <si>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</si>
  <si>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</si>
  <si>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</si>
  <si>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</si>
  <si>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</si>
  <si>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</si>
  <si>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</si>
  <si>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</si>
  <si>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</si>
  <si>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</si>
  <si>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</si>
  <si>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</si>
  <si>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</si>
  <si>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</si>
  <si>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</si>
  <si>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</si>
  <si>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</si>
  <si>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</si>
  <si>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</si>
  <si>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</si>
  <si>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</si>
  <si>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</si>
  <si>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</si>
  <si>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</si>
  <si>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</si>
  <si>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</si>
  <si>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</si>
  <si>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</si>
  <si>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</si>
  <si>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</si>
  <si>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</si>
  <si>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</si>
  <si>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</si>
  <si>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</si>
  <si>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</si>
  <si>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</si>
  <si>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</si>
  <si>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</si>
  <si>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</si>
  <si>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</si>
  <si>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</si>
  <si>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</si>
  <si>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</si>
  <si>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</si>
  <si>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</si>
  <si>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</si>
  <si>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</si>
  <si>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</si>
  <si>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</si>
  <si>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</si>
  <si>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</si>
  <si>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</si>
  <si>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</si>
  <si>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</si>
  <si>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</si>
  <si>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</si>
  <si>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</si>
  <si>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</si>
  <si>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</si>
  <si>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</si>
  <si>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</si>
  <si>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</si>
  <si>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</si>
  <si>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</si>
  <si>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</si>
  <si>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</si>
  <si>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</si>
  <si>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</si>
  <si>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</si>
  <si>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</si>
  <si>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</si>
  <si>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</si>
  <si>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</si>
  <si>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</si>
  <si>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</si>
  <si>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</si>
  <si>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</si>
  <si>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</si>
  <si>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</si>
  <si>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</si>
  <si>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</si>
  <si>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</si>
  <si>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</si>
  <si>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</si>
  <si>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</si>
  <si>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</si>
  <si>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</si>
  <si>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</si>
  <si>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</si>
  <si>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</si>
  <si>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>Staff</t>
  </si>
  <si>
    <t>TL Rensis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</si>
  <si>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</si>
  <si>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</si>
  <si>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</si>
  <si>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</si>
  <si>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</si>
  <si>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</si>
  <si>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</si>
  <si>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CA5-1</t>
  </si>
  <si>
    <t>C9-200 daN</t>
  </si>
  <si>
    <t>CE1-3</t>
  </si>
  <si>
    <t>F1-3</t>
  </si>
  <si>
    <t>CM2-12A</t>
  </si>
  <si>
    <t>CG106</t>
  </si>
  <si>
    <t>CM2-12</t>
  </si>
  <si>
    <t>CJ5-T</t>
  </si>
  <si>
    <t>CJ6-T</t>
  </si>
  <si>
    <t>MJ6-T</t>
  </si>
  <si>
    <t>CM2-11M</t>
  </si>
  <si>
    <t>A3C 70 mm2</t>
  </si>
  <si>
    <t>LVTC 2x70+70 mm2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</si>
  <si>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</si>
  <si>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</si>
  <si>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</si>
  <si>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</si>
  <si>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</si>
  <si>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</si>
  <si>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Daya 1.300 VA</t>
  </si>
  <si>
    <t>C12-350 daN</t>
  </si>
  <si>
    <t>CA5</t>
  </si>
  <si>
    <t>C12-200 daN</t>
  </si>
  <si>
    <t>CA2</t>
  </si>
  <si>
    <t>CA1</t>
  </si>
  <si>
    <t>PERUMAHAN CEMARA SAE RESIDENCE</t>
  </si>
  <si>
    <t>Demak, 1  November 2023</t>
  </si>
  <si>
    <t>GODONG - GROBOGAN</t>
  </si>
  <si>
    <t>Marginal COST maret 2023</t>
  </si>
  <si>
    <t>Manager Perencanaan</t>
  </si>
  <si>
    <t>Manager</t>
  </si>
  <si>
    <t xml:space="preserve">  7° 2'5.77"S, 110°41'24.59"E</t>
  </si>
  <si>
    <t>SINGLE LINE DIAGRAM LOKASI PERUMAHAN CEMARA SAE RESIDENCE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</si>
</sst>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695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88" fillId="33" borderId="69" xfId="0" applyFont="1" applyFill="1" applyBorder="1" applyAlignment="1">
      <alignment horizontal="left" vertic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43" fillId="0" borderId="20" xfId="1653" applyFont="1" applyBorder="1" applyAlignment="1">
      <alignment horizontal="center" vertical="center"/>
    </xf>
    <xf numFmtId="0" fontId="143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0" fillId="0" borderId="20" xfId="1652" applyFont="1" applyBorder="1" applyAlignment="1">
      <alignment horizontal="center" vertical="center"/>
    </xf>
    <xf numFmtId="0" fontId="40" fillId="0" borderId="21" xfId="1652" applyFont="1" applyBorder="1" applyAlignment="1">
      <alignment vertical="center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vertic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12" fillId="33" borderId="26" xfId="0" quotePrefix="1" applyFont="1" applyFill="1" applyBorder="1" applyAlignment="1">
      <alignment horizontal="left"/>
    </xf>
    <xf numFmtId="49" fontId="88" fillId="33" borderId="59" xfId="0" applyNumberFormat="1" applyFont="1" applyFill="1" applyBorder="1" applyAlignment="1">
      <alignment horizontal="left" vertical="center"/>
    </xf>
    <xf numFmtId="49" fontId="88" fillId="33" borderId="60" xfId="0" applyNumberFormat="1" applyFont="1" applyFill="1" applyBorder="1" applyAlignment="1">
      <alignment horizontal="left" vertical="center"/>
    </xf>
    <xf numFmtId="2" fontId="2" fillId="0" borderId="21" xfId="1652" applyNumberFormat="1" applyFont="1" applyBorder="1" applyAlignment="1">
      <alignment horizontal="center" vertical="center"/>
    </xf>
    <xf numFmtId="3" fontId="6" fillId="0" borderId="21" xfId="1614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horizontal="center" vertical="center"/>
    </xf>
    <xf numFmtId="0" fontId="108" fillId="38" borderId="3" xfId="1538" applyFill="1" applyBorder="1" applyAlignment="1">
      <alignment horizontal="center" vertical="center" wrapText="1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9" fillId="35" borderId="54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50" xfId="0" applyFont="1" applyFill="1" applyBorder="1" applyAlignment="1">
      <alignment vertical="center"/>
    </xf>
    <xf numFmtId="0" fontId="111" fillId="33" borderId="41" xfId="0" applyFont="1" applyFill="1" applyBorder="1" applyAlignment="1">
      <alignment vertical="center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1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center"/>
    </xf>
    <xf numFmtId="15" fontId="111" fillId="33" borderId="3" xfId="0" applyNumberFormat="1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69" fillId="33" borderId="88" xfId="1451" applyFont="1" applyFill="1" applyBorder="1" applyAlignment="1">
      <alignment horizontal="center" vertical="center"/>
    </xf>
    <xf numFmtId="0" fontId="169" fillId="33" borderId="89" xfId="1451" applyFont="1" applyFill="1" applyBorder="1" applyAlignment="1">
      <alignment horizontal="center" vertical="center"/>
    </xf>
    <xf numFmtId="0" fontId="169" fillId="33" borderId="90" xfId="1451" applyFont="1" applyFill="1" applyBorder="1" applyAlignment="1">
      <alignment horizontal="center" vertical="center"/>
    </xf>
    <xf numFmtId="0" fontId="169" fillId="33" borderId="91" xfId="1451" applyFont="1" applyFill="1" applyBorder="1" applyAlignment="1">
      <alignment horizontal="center" vertical="center"/>
    </xf>
    <xf numFmtId="0" fontId="169" fillId="33" borderId="92" xfId="1451" applyFont="1" applyFill="1" applyBorder="1" applyAlignment="1">
      <alignment horizontal="center" vertical="center"/>
    </xf>
    <xf numFmtId="0" fontId="169" fillId="33" borderId="93" xfId="1451" applyFont="1" applyFill="1" applyBorder="1" applyAlignment="1">
      <alignment horizontal="center" vertical="center"/>
    </xf>
    <xf numFmtId="0" fontId="157" fillId="0" borderId="0" xfId="1451" applyFont="1" applyAlignment="1">
      <alignment horizont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0.43875000000000003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5.jpeg"/><Relationship Id="rId1" Type="http://schemas.openxmlformats.org/officeDocument/2006/relationships/image" Target="../media/image14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0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0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101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192</xdr:row>
      <xdr:rowOff>68515</xdr:rowOff>
    </xdr:from>
    <xdr:to>
      <xdr:col>12</xdr:col>
      <xdr:colOff>189677</xdr:colOff>
      <xdr:row>195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229230</xdr:colOff>
      <xdr:row>18</xdr:row>
      <xdr:rowOff>126238</xdr:rowOff>
    </xdr:from>
    <xdr:to>
      <xdr:col>11</xdr:col>
      <xdr:colOff>37416</xdr:colOff>
      <xdr:row>19</xdr:row>
      <xdr:rowOff>138691</xdr:rowOff>
    </xdr:to>
    <xdr:cxnSp macro="">
      <xdr:nvCxnSpPr>
        <xdr:cNvPr id="200" name="Straight Arrow Connector 199">
          <a:extLst>
            <a:ext uri="{FF2B5EF4-FFF2-40B4-BE49-F238E27FC236}">
              <a16:creationId xmlns:a16="http://schemas.microsoft.com/office/drawing/2014/main" id="{B7AB0154-7C63-4504-A884-72D2E82065DD}"/>
            </a:ext>
          </a:extLst>
        </xdr:cNvPr>
        <xdr:cNvCxnSpPr/>
      </xdr:nvCxnSpPr>
      <xdr:spPr>
        <a:xfrm flipV="1">
          <a:off x="3591969" y="2859499"/>
          <a:ext cx="189186" cy="1615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124811</xdr:colOff>
      <xdr:row>23</xdr:row>
      <xdr:rowOff>105103</xdr:rowOff>
    </xdr:from>
    <xdr:to>
      <xdr:col>12</xdr:col>
      <xdr:colOff>269328</xdr:colOff>
      <xdr:row>24</xdr:row>
      <xdr:rowOff>131379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B3261AB7-987B-4E95-BF56-DA1DC93F8F71}"/>
            </a:ext>
          </a:extLst>
        </xdr:cNvPr>
        <xdr:cNvCxnSpPr/>
      </xdr:nvCxnSpPr>
      <xdr:spPr>
        <a:xfrm flipH="1">
          <a:off x="4243552" y="3619500"/>
          <a:ext cx="144517" cy="1773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322387</xdr:colOff>
      <xdr:row>25</xdr:row>
      <xdr:rowOff>1162</xdr:rowOff>
    </xdr:from>
    <xdr:to>
      <xdr:col>20</xdr:col>
      <xdr:colOff>1</xdr:colOff>
      <xdr:row>53</xdr:row>
      <xdr:rowOff>38100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4E8C4808-C3A1-C748-994F-0B8C91BAC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8" t="15856" r="38619" b="21308"/>
        <a:stretch/>
      </xdr:blipFill>
      <xdr:spPr>
        <a:xfrm>
          <a:off x="3294187" y="3839737"/>
          <a:ext cx="3868614" cy="4418438"/>
        </a:xfrm>
        <a:prstGeom prst="rect">
          <a:avLst/>
        </a:prstGeom>
      </xdr:spPr>
    </xdr:pic>
    <xdr:clientData/>
  </xdr:twoCellAnchor>
  <xdr:twoCellAnchor>
    <xdr:from>
      <xdr:col>12</xdr:col>
      <xdr:colOff>333578</xdr:colOff>
      <xdr:row>24</xdr:row>
      <xdr:rowOff>10278</xdr:rowOff>
    </xdr:from>
    <xdr:to>
      <xdr:col>17</xdr:col>
      <xdr:colOff>97278</xdr:colOff>
      <xdr:row>28</xdr:row>
      <xdr:rowOff>29632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610966A5-74B3-4915-8666-BF1F9B17C434}"/>
            </a:ext>
          </a:extLst>
        </xdr:cNvPr>
        <xdr:cNvCxnSpPr>
          <a:cxnSpLocks/>
          <a:stCxn id="85" idx="5"/>
          <a:endCxn id="122" idx="2"/>
        </xdr:cNvCxnSpPr>
      </xdr:nvCxnSpPr>
      <xdr:spPr>
        <a:xfrm>
          <a:off x="4453141" y="3510716"/>
          <a:ext cx="1668700" cy="590854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222992</xdr:colOff>
      <xdr:row>10</xdr:row>
      <xdr:rowOff>121532</xdr:rowOff>
    </xdr:from>
    <xdr:to>
      <xdr:col>20</xdr:col>
      <xdr:colOff>70403</xdr:colOff>
      <xdr:row>29</xdr:row>
      <xdr:rowOff>21742</xdr:rowOff>
    </xdr:to>
    <xdr:sp macro="" textlink="">
      <xdr:nvSpPr>
        <xdr:cNvPr id="109" name="Freeform: Shape 108">
          <a:extLst>
            <a:ext uri="{FF2B5EF4-FFF2-40B4-BE49-F238E27FC236}">
              <a16:creationId xmlns:a16="http://schemas.microsoft.com/office/drawing/2014/main" id="{89C26540-3FB7-466C-8556-8B60F9FDA36C}"/>
            </a:ext>
          </a:extLst>
        </xdr:cNvPr>
        <xdr:cNvSpPr/>
      </xdr:nvSpPr>
      <xdr:spPr>
        <a:xfrm>
          <a:off x="2056555" y="1597907"/>
          <a:ext cx="5181411" cy="2638648"/>
        </a:xfrm>
        <a:custGeom>
          <a:avLst/>
          <a:gdLst>
            <a:gd name="connsiteX0" fmla="*/ 0 w 6147955"/>
            <a:gd name="connsiteY0" fmla="*/ 0 h 3151909"/>
            <a:gd name="connsiteX1" fmla="*/ 51955 w 6147955"/>
            <a:gd name="connsiteY1" fmla="*/ 0 h 3151909"/>
            <a:gd name="connsiteX2" fmla="*/ 502228 w 6147955"/>
            <a:gd name="connsiteY2" fmla="*/ 502227 h 3151909"/>
            <a:gd name="connsiteX3" fmla="*/ 1991591 w 6147955"/>
            <a:gd name="connsiteY3" fmla="*/ 1316182 h 3151909"/>
            <a:gd name="connsiteX4" fmla="*/ 2840182 w 6147955"/>
            <a:gd name="connsiteY4" fmla="*/ 1974273 h 3151909"/>
            <a:gd name="connsiteX5" fmla="*/ 6147955 w 6147955"/>
            <a:gd name="connsiteY5" fmla="*/ 3151909 h 3151909"/>
            <a:gd name="connsiteX0" fmla="*/ 0 w 6147955"/>
            <a:gd name="connsiteY0" fmla="*/ 0 h 3151909"/>
            <a:gd name="connsiteX1" fmla="*/ 502228 w 6147955"/>
            <a:gd name="connsiteY1" fmla="*/ 502227 h 3151909"/>
            <a:gd name="connsiteX2" fmla="*/ 1991591 w 6147955"/>
            <a:gd name="connsiteY2" fmla="*/ 1316182 h 3151909"/>
            <a:gd name="connsiteX3" fmla="*/ 2840182 w 6147955"/>
            <a:gd name="connsiteY3" fmla="*/ 1974273 h 3151909"/>
            <a:gd name="connsiteX4" fmla="*/ 6147955 w 6147955"/>
            <a:gd name="connsiteY4" fmla="*/ 3151909 h 3151909"/>
            <a:gd name="connsiteX0" fmla="*/ 0 w 6386787"/>
            <a:gd name="connsiteY0" fmla="*/ 0 h 3185313"/>
            <a:gd name="connsiteX1" fmla="*/ 741060 w 6386787"/>
            <a:gd name="connsiteY1" fmla="*/ 535631 h 3185313"/>
            <a:gd name="connsiteX2" fmla="*/ 2230423 w 6386787"/>
            <a:gd name="connsiteY2" fmla="*/ 1349586 h 3185313"/>
            <a:gd name="connsiteX3" fmla="*/ 3079014 w 6386787"/>
            <a:gd name="connsiteY3" fmla="*/ 2007677 h 3185313"/>
            <a:gd name="connsiteX4" fmla="*/ 6386787 w 6386787"/>
            <a:gd name="connsiteY4" fmla="*/ 3185313 h 3185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86787" h="3185313">
              <a:moveTo>
                <a:pt x="0" y="0"/>
              </a:moveTo>
              <a:lnTo>
                <a:pt x="741060" y="535631"/>
              </a:lnTo>
              <a:lnTo>
                <a:pt x="2230423" y="1349586"/>
              </a:lnTo>
              <a:lnTo>
                <a:pt x="3079014" y="2007677"/>
              </a:lnTo>
              <a:lnTo>
                <a:pt x="6386787" y="3185313"/>
              </a:lnTo>
            </a:path>
          </a:pathLst>
        </a:custGeom>
        <a:noFill/>
        <a:ln w="190500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C6227238-AA15-4A9A-83FB-68611F88B179}"/>
            </a:ext>
          </a:extLst>
        </xdr:cNvPr>
        <xdr:cNvGrpSpPr/>
      </xdr:nvGrpSpPr>
      <xdr:grpSpPr>
        <a:xfrm>
          <a:off x="10642210" y="824752"/>
          <a:ext cx="2866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F739D2E-1742-4A07-A98C-EB89213FF0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54D0B785-F85A-449E-AAAF-A65257E40216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46E9A7F-C53B-4DE8-98B8-5D8BE6058BA5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CCD99CE-71E4-4532-AAC5-87A69D869E0F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D01A0B27-EFD7-4A8D-A2D5-793EECBAC7B9}"/>
            </a:ext>
          </a:extLst>
        </xdr:cNvPr>
        <xdr:cNvGrpSpPr/>
      </xdr:nvGrpSpPr>
      <xdr:grpSpPr>
        <a:xfrm>
          <a:off x="11351809" y="827584"/>
          <a:ext cx="8009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C7BA41BA-054A-4997-AEAE-DE09671316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A6AA633-2485-48FA-B74A-444EB8193D1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E1144C1-67E2-4B40-A109-1A0AAA281326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6142B9-2E52-48C6-8E81-FD5365868373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359D398-B6E1-41C1-A9FB-8B3FB033A32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A8A77EE-89A3-4913-A3B3-1C147ADC59F6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389AA51E-A1F3-449E-AE79-C9AC904BBC47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DC870DA-6151-463F-B7D8-C36D015FB7C7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656267B-2D0A-409A-AF55-26F0997462D1}"/>
            </a:ext>
          </a:extLst>
        </xdr:cNvPr>
        <xdr:cNvCxnSpPr/>
      </xdr:nvCxnSpPr>
      <xdr:spPr>
        <a:xfrm>
          <a:off x="10290488" y="14795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657766B-99EC-426D-A367-3B650F5B2A12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D43674E-43B4-4EAF-9D02-133241A7BFD7}"/>
            </a:ext>
          </a:extLst>
        </xdr:cNvPr>
        <xdr:cNvCxnSpPr/>
      </xdr:nvCxnSpPr>
      <xdr:spPr>
        <a:xfrm>
          <a:off x="10287116" y="16269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C50E0BF-5657-4F9A-B2A2-251643E9E23D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623EA0F-71F5-4A5B-97F0-4E0142BF4607}"/>
            </a:ext>
          </a:extLst>
        </xdr:cNvPr>
        <xdr:cNvCxnSpPr/>
      </xdr:nvCxnSpPr>
      <xdr:spPr>
        <a:xfrm rot="5400000" flipH="1" flipV="1">
          <a:off x="10499797" y="14769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5E993D15-5283-4D40-B376-054A5AD758A8}"/>
            </a:ext>
          </a:extLst>
        </xdr:cNvPr>
        <xdr:cNvCxnSpPr/>
      </xdr:nvCxnSpPr>
      <xdr:spPr>
        <a:xfrm rot="5400000" flipH="1" flipV="1">
          <a:off x="10506047" y="14737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65FA91C-0740-4815-B688-2472341E2E6C}"/>
            </a:ext>
          </a:extLst>
        </xdr:cNvPr>
        <xdr:cNvCxnSpPr/>
      </xdr:nvCxnSpPr>
      <xdr:spPr>
        <a:xfrm rot="5400000" flipH="1" flipV="1">
          <a:off x="105227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9C1DFF6-4F13-4983-9791-99517946568D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C41776A5-5C89-4A60-A5B8-3B27379FA79C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91FE277-48E6-4A05-800C-D6A359E3C214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DD3C078F-08E3-478E-BFC8-FB2B25009D17}"/>
            </a:ext>
          </a:extLst>
        </xdr:cNvPr>
        <xdr:cNvCxnSpPr/>
      </xdr:nvCxnSpPr>
      <xdr:spPr>
        <a:xfrm rot="5400000" flipH="1" flipV="1">
          <a:off x="10488805" y="16060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21F57F6-3441-449B-B803-9D2CE6DF4BD9}"/>
            </a:ext>
          </a:extLst>
        </xdr:cNvPr>
        <xdr:cNvCxnSpPr/>
      </xdr:nvCxnSpPr>
      <xdr:spPr>
        <a:xfrm rot="5400000" flipH="1" flipV="1">
          <a:off x="10500770" y="16257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08483D4-CBC2-484E-A330-4D8567FEF2AE}"/>
            </a:ext>
          </a:extLst>
        </xdr:cNvPr>
        <xdr:cNvCxnSpPr/>
      </xdr:nvCxnSpPr>
      <xdr:spPr>
        <a:xfrm rot="5400000" flipH="1" flipV="1">
          <a:off x="10507027" y="16225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7380E91-8221-4398-82E9-29E6CC5FA64E}"/>
            </a:ext>
          </a:extLst>
        </xdr:cNvPr>
        <xdr:cNvCxnSpPr/>
      </xdr:nvCxnSpPr>
      <xdr:spPr>
        <a:xfrm rot="5400000" flipH="1" flipV="1">
          <a:off x="105198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9742C2-BD8D-4AB9-BB95-9623D57B5B75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339F18C-1923-425E-9D97-6F8242630268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190305A-F017-4CA0-ABF1-9565A54F92BB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7B9F3482-9EB6-428C-9F61-471844D71BF9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FF70B031-B24B-436A-A279-1338A66BE953}"/>
            </a:ext>
          </a:extLst>
        </xdr:cNvPr>
        <xdr:cNvSpPr/>
      </xdr:nvSpPr>
      <xdr:spPr>
        <a:xfrm>
          <a:off x="10503105" y="17473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8FB4E2B4-3F4C-44EA-92EA-ED33588101B6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4CC05990-88A7-4CB7-A855-EFFDE7FA1344}"/>
            </a:ext>
          </a:extLst>
        </xdr:cNvPr>
        <xdr:cNvGrpSpPr/>
      </xdr:nvGrpSpPr>
      <xdr:grpSpPr>
        <a:xfrm>
          <a:off x="10573818" y="2072395"/>
          <a:ext cx="137474" cy="125031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96D16384-CE51-4E40-B96F-5FB6ACDF8FB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65B568F-965A-4C42-903A-B05B58B5F9AC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AF8D2740-F477-485D-B872-4D2DE64D1E13}"/>
            </a:ext>
          </a:extLst>
        </xdr:cNvPr>
        <xdr:cNvGrpSpPr/>
      </xdr:nvGrpSpPr>
      <xdr:grpSpPr>
        <a:xfrm>
          <a:off x="11306910" y="2072978"/>
          <a:ext cx="198434" cy="125030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70D14CC-CD7F-447C-8917-664654CACD6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62883E4-58EC-4B3B-9A63-DC9813E5E64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3D290B7E-A74C-4E8C-AF6A-449266230FF7}"/>
            </a:ext>
          </a:extLst>
        </xdr:cNvPr>
        <xdr:cNvGrpSpPr/>
      </xdr:nvGrpSpPr>
      <xdr:grpSpPr>
        <a:xfrm>
          <a:off x="10508888" y="2245292"/>
          <a:ext cx="26148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E7CE7941-FBBC-4899-AFE6-3A60556126A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4AC106E0-D4C0-4829-A88A-5EE1CD0FC88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A6D749C-83F5-4796-8DF1-89BBD629E4C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2621B1AA-903C-4A4B-9C10-5D34EC51784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C082DCCB-8B9B-48B4-88D0-AB47E5189415}"/>
            </a:ext>
          </a:extLst>
        </xdr:cNvPr>
        <xdr:cNvGrpSpPr/>
      </xdr:nvGrpSpPr>
      <xdr:grpSpPr>
        <a:xfrm>
          <a:off x="11237662" y="2245292"/>
          <a:ext cx="32244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9D2F6CC-21E0-4C87-BCF3-84E403969CD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2340992C-A706-4DBC-A16F-A364AC45A0A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772EFB61-AD0F-4C74-A9C2-9667B6E56F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B6023A6-2810-4EBC-96A9-517D73929BD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AE76CE31-56E5-47FC-B6CB-4897B6390E5E}"/>
            </a:ext>
          </a:extLst>
        </xdr:cNvPr>
        <xdr:cNvCxnSpPr/>
      </xdr:nvCxnSpPr>
      <xdr:spPr>
        <a:xfrm>
          <a:off x="10299273" y="24052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DEEDB2F-D61F-45CB-A63F-77F01B2739D4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D1469E7-4474-4FFE-BCBE-0B32159F77B9}"/>
            </a:ext>
          </a:extLst>
        </xdr:cNvPr>
        <xdr:cNvCxnSpPr/>
      </xdr:nvCxnSpPr>
      <xdr:spPr>
        <a:xfrm flipV="1">
          <a:off x="10480099" y="25210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35E8C5D-69C7-45FE-BE60-CFF902D73BB1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7872EE8A-E44F-4BAE-868C-FA090BB9E3EA}"/>
            </a:ext>
          </a:extLst>
        </xdr:cNvPr>
        <xdr:cNvGrpSpPr/>
      </xdr:nvGrpSpPr>
      <xdr:grpSpPr>
        <a:xfrm>
          <a:off x="10627437" y="1940148"/>
          <a:ext cx="5773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646B21F-6F9E-428E-895E-AEF95C99B1D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C78ED6A9-51F5-40CB-B0C0-E831C91C3F4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41E50438-8C57-4196-9671-BAE5005E8FE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D7295361-11D8-41D9-98A9-61FC26CFA8FF}"/>
            </a:ext>
          </a:extLst>
        </xdr:cNvPr>
        <xdr:cNvGrpSpPr/>
      </xdr:nvGrpSpPr>
      <xdr:grpSpPr>
        <a:xfrm>
          <a:off x="11341685" y="1940854"/>
          <a:ext cx="11869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60EC971B-368D-443B-8759-8C3AB9E9896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314A34D5-87B0-48C1-8DFD-EF94BBB3D39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F73FC0C3-557C-47FE-8F95-2F5A3789E15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>
          <a:extLst>
            <a:ext uri="{FF2B5EF4-FFF2-40B4-BE49-F238E27FC236}">
              <a16:creationId xmlns:a16="http://schemas.microsoft.com/office/drawing/2014/main" id="{8617E316-EB43-47C6-A3F3-0B1CA8083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CFC1AB0D-4E15-4FFD-B57B-9589F9F6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920725" y="8048180"/>
          <a:ext cx="692508" cy="328308"/>
        </a:xfrm>
        <a:prstGeom prst="rect">
          <a:avLst/>
        </a:prstGeom>
      </xdr:spPr>
    </xdr:pic>
    <xdr:clientData/>
  </xdr:twoCellAnchor>
  <xdr:twoCellAnchor>
    <xdr:from>
      <xdr:col>7</xdr:col>
      <xdr:colOff>11419</xdr:colOff>
      <xdr:row>14</xdr:row>
      <xdr:rowOff>28431</xdr:rowOff>
    </xdr:from>
    <xdr:to>
      <xdr:col>10</xdr:col>
      <xdr:colOff>235975</xdr:colOff>
      <xdr:row>19</xdr:row>
      <xdr:rowOff>64639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645CC3E9-258F-4738-8292-393873A911D4}"/>
            </a:ext>
          </a:extLst>
        </xdr:cNvPr>
        <xdr:cNvCxnSpPr>
          <a:cxnSpLocks/>
          <a:stCxn id="5" idx="1"/>
          <a:endCxn id="148" idx="5"/>
        </xdr:cNvCxnSpPr>
      </xdr:nvCxnSpPr>
      <xdr:spPr>
        <a:xfrm flipH="1" flipV="1">
          <a:off x="2225160" y="2183052"/>
          <a:ext cx="1367556" cy="791639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80596</xdr:colOff>
      <xdr:row>26</xdr:row>
      <xdr:rowOff>126390</xdr:rowOff>
    </xdr:from>
    <xdr:to>
      <xdr:col>17</xdr:col>
      <xdr:colOff>161193</xdr:colOff>
      <xdr:row>44</xdr:row>
      <xdr:rowOff>29307</xdr:rowOff>
    </xdr:to>
    <xdr:cxnSp macro="">
      <xdr:nvCxnSpPr>
        <xdr:cNvPr id="272" name="Straight Connector 271">
          <a:extLst>
            <a:ext uri="{FF2B5EF4-FFF2-40B4-BE49-F238E27FC236}">
              <a16:creationId xmlns:a16="http://schemas.microsoft.com/office/drawing/2014/main" id="{38839FCD-268A-498E-AF64-303FED10C0CF}"/>
            </a:ext>
          </a:extLst>
        </xdr:cNvPr>
        <xdr:cNvCxnSpPr>
          <a:cxnSpLocks/>
        </xdr:cNvCxnSpPr>
      </xdr:nvCxnSpPr>
      <xdr:spPr>
        <a:xfrm flipH="1">
          <a:off x="6103327" y="4148871"/>
          <a:ext cx="80597" cy="2679821"/>
        </a:xfrm>
        <a:prstGeom prst="line">
          <a:avLst/>
        </a:prstGeom>
        <a:ln w="127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269835</xdr:colOff>
      <xdr:row>13</xdr:row>
      <xdr:rowOff>86211</xdr:rowOff>
    </xdr:from>
    <xdr:to>
      <xdr:col>7</xdr:col>
      <xdr:colOff>21454</xdr:colOff>
      <xdr:row>14</xdr:row>
      <xdr:rowOff>59549</xdr:rowOff>
    </xdr:to>
    <xdr:grpSp>
      <xdr:nvGrpSpPr>
        <xdr:cNvPr id="147" name="Group 13">
          <a:extLst>
            <a:ext uri="{FF2B5EF4-FFF2-40B4-BE49-F238E27FC236}">
              <a16:creationId xmlns:a16="http://schemas.microsoft.com/office/drawing/2014/main" id="{DCC3423E-8098-46BD-8201-3E24C8756BCD}"/>
            </a:ext>
          </a:extLst>
        </xdr:cNvPr>
        <xdr:cNvGrpSpPr/>
      </xdr:nvGrpSpPr>
      <xdr:grpSpPr>
        <a:xfrm rot="20744913">
          <a:off x="2107600" y="2125682"/>
          <a:ext cx="132619" cy="13022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48" name="Oval 1">
            <a:extLst>
              <a:ext uri="{FF2B5EF4-FFF2-40B4-BE49-F238E27FC236}">
                <a16:creationId xmlns:a16="http://schemas.microsoft.com/office/drawing/2014/main" id="{4E8545DD-A7E6-49DF-9D54-51857EEC33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9" name="Straight Connector 3">
            <a:extLst>
              <a:ext uri="{FF2B5EF4-FFF2-40B4-BE49-F238E27FC236}">
                <a16:creationId xmlns:a16="http://schemas.microsoft.com/office/drawing/2014/main" id="{9BB9415B-9B28-4FB9-8BFE-6FCB91B09FE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7">
            <a:extLst>
              <a:ext uri="{FF2B5EF4-FFF2-40B4-BE49-F238E27FC236}">
                <a16:creationId xmlns:a16="http://schemas.microsoft.com/office/drawing/2014/main" id="{7F645A0A-D821-4AFE-A201-381BBF0815D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434122</xdr:colOff>
      <xdr:row>4</xdr:row>
      <xdr:rowOff>97082</xdr:rowOff>
    </xdr:from>
    <xdr:to>
      <xdr:col>7</xdr:col>
      <xdr:colOff>65943</xdr:colOff>
      <xdr:row>15</xdr:row>
      <xdr:rowOff>104409</xdr:rowOff>
    </xdr:to>
    <xdr:cxnSp macro="">
      <xdr:nvCxnSpPr>
        <xdr:cNvPr id="255" name="Straight Connector 254">
          <a:extLst>
            <a:ext uri="{FF2B5EF4-FFF2-40B4-BE49-F238E27FC236}">
              <a16:creationId xmlns:a16="http://schemas.microsoft.com/office/drawing/2014/main" id="{C5E4F63D-A9D4-429E-B91F-34C421135440}"/>
            </a:ext>
          </a:extLst>
        </xdr:cNvPr>
        <xdr:cNvCxnSpPr/>
      </xdr:nvCxnSpPr>
      <xdr:spPr>
        <a:xfrm flipH="1">
          <a:off x="624622" y="716207"/>
          <a:ext cx="1655884" cy="1602765"/>
        </a:xfrm>
        <a:prstGeom prst="line">
          <a:avLst/>
        </a:prstGeom>
        <a:ln w="190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371585</xdr:colOff>
      <xdr:row>4</xdr:row>
      <xdr:rowOff>92371</xdr:rowOff>
    </xdr:from>
    <xdr:to>
      <xdr:col>5</xdr:col>
      <xdr:colOff>62794</xdr:colOff>
      <xdr:row>9</xdr:row>
      <xdr:rowOff>20150</xdr:rowOff>
    </xdr:to>
    <xdr:sp macro="" textlink="">
      <xdr:nvSpPr>
        <xdr:cNvPr id="327" name="TextBox 157">
          <a:extLst>
            <a:ext uri="{FF2B5EF4-FFF2-40B4-BE49-F238E27FC236}">
              <a16:creationId xmlns:a16="http://schemas.microsoft.com/office/drawing/2014/main" id="{64EDBCDE-2A0F-43A2-A0E2-518BD3DA26F1}"/>
            </a:ext>
          </a:extLst>
        </xdr:cNvPr>
        <xdr:cNvSpPr txBox="1"/>
      </xdr:nvSpPr>
      <xdr:spPr>
        <a:xfrm>
          <a:off x="562085" y="711496"/>
          <a:ext cx="953272" cy="64215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MGN03-331/51</a:t>
          </a:r>
        </a:p>
        <a:p>
          <a:pPr algn="l"/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14-350</a:t>
          </a:r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17319</xdr:colOff>
      <xdr:row>18</xdr:row>
      <xdr:rowOff>35720</xdr:rowOff>
    </xdr:from>
    <xdr:to>
      <xdr:col>20</xdr:col>
      <xdr:colOff>206759</xdr:colOff>
      <xdr:row>26</xdr:row>
      <xdr:rowOff>130970</xdr:rowOff>
    </xdr:to>
    <xdr:sp macro="" textlink="">
      <xdr:nvSpPr>
        <xdr:cNvPr id="257" name="TextBox 157">
          <a:extLst>
            <a:ext uri="{FF2B5EF4-FFF2-40B4-BE49-F238E27FC236}">
              <a16:creationId xmlns:a16="http://schemas.microsoft.com/office/drawing/2014/main" id="{4E41716C-DB93-401F-8AA8-869AAF65F434}"/>
            </a:ext>
          </a:extLst>
        </xdr:cNvPr>
        <xdr:cNvSpPr txBox="1"/>
      </xdr:nvSpPr>
      <xdr:spPr>
        <a:xfrm>
          <a:off x="6422882" y="2678908"/>
          <a:ext cx="951440" cy="12382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MGN.03.../6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CG-106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309802</xdr:colOff>
      <xdr:row>40</xdr:row>
      <xdr:rowOff>27355</xdr:rowOff>
    </xdr:from>
    <xdr:to>
      <xdr:col>20</xdr:col>
      <xdr:colOff>116484</xdr:colOff>
      <xdr:row>47</xdr:row>
      <xdr:rowOff>72472</xdr:rowOff>
    </xdr:to>
    <xdr:sp macro="" textlink="">
      <xdr:nvSpPr>
        <xdr:cNvPr id="260" name="TextBox 157">
          <a:extLst>
            <a:ext uri="{FF2B5EF4-FFF2-40B4-BE49-F238E27FC236}">
              <a16:creationId xmlns:a16="http://schemas.microsoft.com/office/drawing/2014/main" id="{22627809-0F65-4328-8430-80A240329CF5}"/>
            </a:ext>
          </a:extLst>
        </xdr:cNvPr>
        <xdr:cNvSpPr txBox="1"/>
      </xdr:nvSpPr>
      <xdr:spPr>
        <a:xfrm>
          <a:off x="6334365" y="5861418"/>
          <a:ext cx="949682" cy="104524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376802</xdr:colOff>
      <xdr:row>33</xdr:row>
      <xdr:rowOff>39865</xdr:rowOff>
    </xdr:from>
    <xdr:to>
      <xdr:col>20</xdr:col>
      <xdr:colOff>183484</xdr:colOff>
      <xdr:row>37</xdr:row>
      <xdr:rowOff>108073</xdr:rowOff>
    </xdr:to>
    <xdr:sp macro="" textlink="">
      <xdr:nvSpPr>
        <xdr:cNvPr id="261" name="TextBox 157">
          <a:extLst>
            <a:ext uri="{FF2B5EF4-FFF2-40B4-BE49-F238E27FC236}">
              <a16:creationId xmlns:a16="http://schemas.microsoft.com/office/drawing/2014/main" id="{995D2D48-C8F7-44F6-BDC4-DA3455DC030A}"/>
            </a:ext>
          </a:extLst>
        </xdr:cNvPr>
        <xdr:cNvSpPr txBox="1"/>
      </xdr:nvSpPr>
      <xdr:spPr>
        <a:xfrm>
          <a:off x="6401365" y="4826178"/>
          <a:ext cx="949682" cy="639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MGN.03.../6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223094</xdr:colOff>
      <xdr:row>28</xdr:row>
      <xdr:rowOff>70829</xdr:rowOff>
    </xdr:from>
    <xdr:to>
      <xdr:col>18</xdr:col>
      <xdr:colOff>7328</xdr:colOff>
      <xdr:row>28</xdr:row>
      <xdr:rowOff>141044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8C69D2D8-EB60-4A4E-9F46-78CFC72CDFD5}"/>
            </a:ext>
          </a:extLst>
        </xdr:cNvPr>
        <xdr:cNvCxnSpPr>
          <a:stCxn id="122" idx="6"/>
        </xdr:cNvCxnSpPr>
      </xdr:nvCxnSpPr>
      <xdr:spPr>
        <a:xfrm>
          <a:off x="6247657" y="4142767"/>
          <a:ext cx="165234" cy="702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101156</xdr:colOff>
      <xdr:row>32</xdr:row>
      <xdr:rowOff>44554</xdr:rowOff>
    </xdr:from>
    <xdr:to>
      <xdr:col>17</xdr:col>
      <xdr:colOff>168901</xdr:colOff>
      <xdr:row>33</xdr:row>
      <xdr:rowOff>94082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0BCFBB22-B415-40AD-B28B-7AF7632C100A}"/>
            </a:ext>
          </a:extLst>
        </xdr:cNvPr>
        <xdr:cNvGrpSpPr/>
      </xdr:nvGrpSpPr>
      <xdr:grpSpPr>
        <a:xfrm rot="4960649">
          <a:off x="6060588" y="5122916"/>
          <a:ext cx="206411" cy="67745"/>
          <a:chOff x="4055240" y="6230671"/>
          <a:chExt cx="209723" cy="67745"/>
        </a:xfrm>
      </xdr:grpSpPr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992D123C-08F6-481D-9A70-82DDE0BC120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A4686DF4-C101-4ECC-ADE4-DBB5C040271E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29161B41-8C04-49AC-929A-E1A8CD8FFE7C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285751</xdr:colOff>
      <xdr:row>6</xdr:row>
      <xdr:rowOff>1</xdr:rowOff>
    </xdr:from>
    <xdr:to>
      <xdr:col>8</xdr:col>
      <xdr:colOff>53839</xdr:colOff>
      <xdr:row>17</xdr:row>
      <xdr:rowOff>101569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742A3626-1622-463F-B931-26D5394B11F8}"/>
            </a:ext>
          </a:extLst>
        </xdr:cNvPr>
        <xdr:cNvCxnSpPr/>
      </xdr:nvCxnSpPr>
      <xdr:spPr>
        <a:xfrm flipH="1">
          <a:off x="976314" y="904876"/>
          <a:ext cx="1673088" cy="1697006"/>
        </a:xfrm>
        <a:prstGeom prst="line">
          <a:avLst/>
        </a:prstGeom>
        <a:noFill/>
        <a:ln w="317500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10</xdr:col>
      <xdr:colOff>216553</xdr:colOff>
      <xdr:row>19</xdr:row>
      <xdr:rowOff>44922</xdr:rowOff>
    </xdr:from>
    <xdr:to>
      <xdr:col>10</xdr:col>
      <xdr:colOff>349172</xdr:colOff>
      <xdr:row>20</xdr:row>
      <xdr:rowOff>28470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7F60BB3C-A85D-4ED2-B564-2142EE1BD556}"/>
            </a:ext>
          </a:extLst>
        </xdr:cNvPr>
        <xdr:cNvGrpSpPr/>
      </xdr:nvGrpSpPr>
      <xdr:grpSpPr>
        <a:xfrm>
          <a:off x="3578318" y="3025687"/>
          <a:ext cx="132619" cy="14043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113EC12-1E07-6DBF-C013-C901D55CF5C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95D6D0F8-5E5E-385E-3C9A-911C59AA68F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">
            <a:extLst>
              <a:ext uri="{FF2B5EF4-FFF2-40B4-BE49-F238E27FC236}">
                <a16:creationId xmlns:a16="http://schemas.microsoft.com/office/drawing/2014/main" id="{5DC35A9E-F02B-3909-CD27-03C10D87751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358214</xdr:colOff>
      <xdr:row>25</xdr:row>
      <xdr:rowOff>117832</xdr:rowOff>
    </xdr:from>
    <xdr:to>
      <xdr:col>15</xdr:col>
      <xdr:colOff>109833</xdr:colOff>
      <xdr:row>26</xdr:row>
      <xdr:rowOff>90565</xdr:rowOff>
    </xdr:to>
    <xdr:grpSp>
      <xdr:nvGrpSpPr>
        <xdr:cNvPr id="80" name="Group 13">
          <a:extLst>
            <a:ext uri="{FF2B5EF4-FFF2-40B4-BE49-F238E27FC236}">
              <a16:creationId xmlns:a16="http://schemas.microsoft.com/office/drawing/2014/main" id="{0BE9AE3E-F408-4B0E-8FF3-81E3DC462D88}"/>
            </a:ext>
          </a:extLst>
        </xdr:cNvPr>
        <xdr:cNvGrpSpPr/>
      </xdr:nvGrpSpPr>
      <xdr:grpSpPr>
        <a:xfrm rot="1105862">
          <a:off x="5243979" y="4039891"/>
          <a:ext cx="132619" cy="12961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1" name="Oval 1">
            <a:extLst>
              <a:ext uri="{FF2B5EF4-FFF2-40B4-BE49-F238E27FC236}">
                <a16:creationId xmlns:a16="http://schemas.microsoft.com/office/drawing/2014/main" id="{A06DA176-C499-86C9-3BDF-753E2F3A3CC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3">
            <a:extLst>
              <a:ext uri="{FF2B5EF4-FFF2-40B4-BE49-F238E27FC236}">
                <a16:creationId xmlns:a16="http://schemas.microsoft.com/office/drawing/2014/main" id="{CA919BBE-CA67-3E15-B842-C86B6A34651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7">
            <a:extLst>
              <a:ext uri="{FF2B5EF4-FFF2-40B4-BE49-F238E27FC236}">
                <a16:creationId xmlns:a16="http://schemas.microsoft.com/office/drawing/2014/main" id="{03C03EB3-BC51-0295-FB02-C923A89A2D1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220381</xdr:colOff>
      <xdr:row>23</xdr:row>
      <xdr:rowOff>49323</xdr:rowOff>
    </xdr:from>
    <xdr:to>
      <xdr:col>12</xdr:col>
      <xdr:colOff>353000</xdr:colOff>
      <xdr:row>24</xdr:row>
      <xdr:rowOff>28092</xdr:rowOff>
    </xdr:to>
    <xdr:grpSp>
      <xdr:nvGrpSpPr>
        <xdr:cNvPr id="84" name="Group 13">
          <a:extLst>
            <a:ext uri="{FF2B5EF4-FFF2-40B4-BE49-F238E27FC236}">
              <a16:creationId xmlns:a16="http://schemas.microsoft.com/office/drawing/2014/main" id="{398C6EB9-3EB5-4A6C-A604-7CDA1157DC8E}"/>
            </a:ext>
          </a:extLst>
        </xdr:cNvPr>
        <xdr:cNvGrpSpPr/>
      </xdr:nvGrpSpPr>
      <xdr:grpSpPr>
        <a:xfrm>
          <a:off x="4344146" y="3657617"/>
          <a:ext cx="132619" cy="13565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5" name="Oval 1">
            <a:extLst>
              <a:ext uri="{FF2B5EF4-FFF2-40B4-BE49-F238E27FC236}">
                <a16:creationId xmlns:a16="http://schemas.microsoft.com/office/drawing/2014/main" id="{9DE55F76-01E5-4405-C83D-22C84E5D4BC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3">
            <a:extLst>
              <a:ext uri="{FF2B5EF4-FFF2-40B4-BE49-F238E27FC236}">
                <a16:creationId xmlns:a16="http://schemas.microsoft.com/office/drawing/2014/main" id="{D4F7D49D-52E8-F650-7BD5-8CFC0DF8E0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7">
            <a:extLst>
              <a:ext uri="{FF2B5EF4-FFF2-40B4-BE49-F238E27FC236}">
                <a16:creationId xmlns:a16="http://schemas.microsoft.com/office/drawing/2014/main" id="{94B625EC-6866-3487-E2F9-B7D6F7B67F9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339164</xdr:colOff>
      <xdr:row>10</xdr:row>
      <xdr:rowOff>122041</xdr:rowOff>
    </xdr:from>
    <xdr:to>
      <xdr:col>6</xdr:col>
      <xdr:colOff>280045</xdr:colOff>
      <xdr:row>13</xdr:row>
      <xdr:rowOff>117015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6F6BB8FC-CB56-4454-B916-74499FD0B3A9}"/>
            </a:ext>
          </a:extLst>
        </xdr:cNvPr>
        <xdr:cNvCxnSpPr>
          <a:cxnSpLocks/>
          <a:stCxn id="101" idx="5"/>
          <a:endCxn id="148" idx="1"/>
        </xdr:cNvCxnSpPr>
      </xdr:nvCxnSpPr>
      <xdr:spPr>
        <a:xfrm>
          <a:off x="1410727" y="1598416"/>
          <a:ext cx="702881" cy="447412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222825</xdr:colOff>
      <xdr:row>10</xdr:row>
      <xdr:rowOff>20183</xdr:rowOff>
    </xdr:from>
    <xdr:to>
      <xdr:col>4</xdr:col>
      <xdr:colOff>355444</xdr:colOff>
      <xdr:row>11</xdr:row>
      <xdr:rowOff>769</xdr:rowOff>
    </xdr:to>
    <xdr:grpSp>
      <xdr:nvGrpSpPr>
        <xdr:cNvPr id="99" name="Group 13">
          <a:extLst>
            <a:ext uri="{FF2B5EF4-FFF2-40B4-BE49-F238E27FC236}">
              <a16:creationId xmlns:a16="http://schemas.microsoft.com/office/drawing/2014/main" id="{C2E22B2A-96CE-4184-ADF5-988564ED6BBF}"/>
            </a:ext>
          </a:extLst>
        </xdr:cNvPr>
        <xdr:cNvGrpSpPr/>
      </xdr:nvGrpSpPr>
      <xdr:grpSpPr>
        <a:xfrm rot="21339501">
          <a:off x="1298590" y="1589007"/>
          <a:ext cx="132619" cy="13746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1" name="Oval 1">
            <a:extLst>
              <a:ext uri="{FF2B5EF4-FFF2-40B4-BE49-F238E27FC236}">
                <a16:creationId xmlns:a16="http://schemas.microsoft.com/office/drawing/2014/main" id="{85F95B5E-5ECF-E944-F321-5693C53FB4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3">
            <a:extLst>
              <a:ext uri="{FF2B5EF4-FFF2-40B4-BE49-F238E27FC236}">
                <a16:creationId xmlns:a16="http://schemas.microsoft.com/office/drawing/2014/main" id="{390AF359-676F-7A75-F316-75D854F6228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7">
            <a:extLst>
              <a:ext uri="{FF2B5EF4-FFF2-40B4-BE49-F238E27FC236}">
                <a16:creationId xmlns:a16="http://schemas.microsoft.com/office/drawing/2014/main" id="{48E5AA73-C6A3-A190-E897-44A5266E943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237859</xdr:colOff>
      <xdr:row>16</xdr:row>
      <xdr:rowOff>64800</xdr:rowOff>
    </xdr:from>
    <xdr:to>
      <xdr:col>8</xdr:col>
      <xdr:colOff>370478</xdr:colOff>
      <xdr:row>17</xdr:row>
      <xdr:rowOff>42136</xdr:rowOff>
    </xdr:to>
    <xdr:grpSp>
      <xdr:nvGrpSpPr>
        <xdr:cNvPr id="111" name="Group 13">
          <a:extLst>
            <a:ext uri="{FF2B5EF4-FFF2-40B4-BE49-F238E27FC236}">
              <a16:creationId xmlns:a16="http://schemas.microsoft.com/office/drawing/2014/main" id="{809B8233-4680-490D-BFB5-C2788AA1C552}"/>
            </a:ext>
          </a:extLst>
        </xdr:cNvPr>
        <xdr:cNvGrpSpPr/>
      </xdr:nvGrpSpPr>
      <xdr:grpSpPr>
        <a:xfrm>
          <a:off x="2837624" y="2574918"/>
          <a:ext cx="132619" cy="13421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2" name="Oval 1">
            <a:extLst>
              <a:ext uri="{FF2B5EF4-FFF2-40B4-BE49-F238E27FC236}">
                <a16:creationId xmlns:a16="http://schemas.microsoft.com/office/drawing/2014/main" id="{C85D8C59-D0EF-EFFC-EFB7-50858F0F954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3" name="Straight Connector 3">
            <a:extLst>
              <a:ext uri="{FF2B5EF4-FFF2-40B4-BE49-F238E27FC236}">
                <a16:creationId xmlns:a16="http://schemas.microsoft.com/office/drawing/2014/main" id="{0EE822C3-6147-1555-8A76-ECF5A63AE7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7">
            <a:extLst>
              <a:ext uri="{FF2B5EF4-FFF2-40B4-BE49-F238E27FC236}">
                <a16:creationId xmlns:a16="http://schemas.microsoft.com/office/drawing/2014/main" id="{D6F4AE05-9692-EBC4-26EB-C276378E277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329750</xdr:colOff>
      <xdr:row>20</xdr:row>
      <xdr:rowOff>8753</xdr:rowOff>
    </xdr:from>
    <xdr:to>
      <xdr:col>12</xdr:col>
      <xdr:colOff>239803</xdr:colOff>
      <xdr:row>23</xdr:row>
      <xdr:rowOff>68340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B8DA8C7-69B6-44EC-A18B-5A94EB6D389F}"/>
            </a:ext>
          </a:extLst>
        </xdr:cNvPr>
        <xdr:cNvCxnSpPr>
          <a:cxnSpLocks/>
          <a:stCxn id="5" idx="5"/>
          <a:endCxn id="85" idx="1"/>
        </xdr:cNvCxnSpPr>
      </xdr:nvCxnSpPr>
      <xdr:spPr>
        <a:xfrm>
          <a:off x="3686491" y="3069891"/>
          <a:ext cx="672053" cy="512846"/>
        </a:xfrm>
        <a:prstGeom prst="line">
          <a:avLst/>
        </a:prstGeom>
        <a:ln w="1270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93877</xdr:colOff>
      <xdr:row>27</xdr:row>
      <xdr:rowOff>139128</xdr:rowOff>
    </xdr:from>
    <xdr:to>
      <xdr:col>17</xdr:col>
      <xdr:colOff>226496</xdr:colOff>
      <xdr:row>28</xdr:row>
      <xdr:rowOff>114465</xdr:rowOff>
    </xdr:to>
    <xdr:grpSp>
      <xdr:nvGrpSpPr>
        <xdr:cNvPr id="121" name="Group 13">
          <a:extLst>
            <a:ext uri="{FF2B5EF4-FFF2-40B4-BE49-F238E27FC236}">
              <a16:creationId xmlns:a16="http://schemas.microsoft.com/office/drawing/2014/main" id="{A49729D6-59D4-44EC-882A-10C51B6C55FC}"/>
            </a:ext>
          </a:extLst>
        </xdr:cNvPr>
        <xdr:cNvGrpSpPr/>
      </xdr:nvGrpSpPr>
      <xdr:grpSpPr>
        <a:xfrm rot="1105862">
          <a:off x="6122642" y="4374952"/>
          <a:ext cx="132619" cy="13221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2" name="Oval 1">
            <a:extLst>
              <a:ext uri="{FF2B5EF4-FFF2-40B4-BE49-F238E27FC236}">
                <a16:creationId xmlns:a16="http://schemas.microsoft.com/office/drawing/2014/main" id="{70A61A08-76A3-674D-0B78-A25999EF577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3" name="Straight Connector 3">
            <a:extLst>
              <a:ext uri="{FF2B5EF4-FFF2-40B4-BE49-F238E27FC236}">
                <a16:creationId xmlns:a16="http://schemas.microsoft.com/office/drawing/2014/main" id="{559379D7-2A3C-8C99-9DF5-958BF75113B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7">
            <a:extLst>
              <a:ext uri="{FF2B5EF4-FFF2-40B4-BE49-F238E27FC236}">
                <a16:creationId xmlns:a16="http://schemas.microsoft.com/office/drawing/2014/main" id="{BA43329A-4A7D-1A9F-3118-19F738B731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182500</xdr:colOff>
      <xdr:row>27</xdr:row>
      <xdr:rowOff>13963</xdr:rowOff>
    </xdr:from>
    <xdr:to>
      <xdr:col>18</xdr:col>
      <xdr:colOff>3873</xdr:colOff>
      <xdr:row>28</xdr:row>
      <xdr:rowOff>34471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6A3D35-040E-4AAB-AD44-AE81A962B8A4}"/>
            </a:ext>
          </a:extLst>
        </xdr:cNvPr>
        <xdr:cNvSpPr/>
      </xdr:nvSpPr>
      <xdr:spPr>
        <a:xfrm>
          <a:off x="6207063" y="3943026"/>
          <a:ext cx="202373" cy="163383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265525</xdr:colOff>
      <xdr:row>15</xdr:row>
      <xdr:rowOff>27216</xdr:rowOff>
    </xdr:from>
    <xdr:to>
      <xdr:col>6</xdr:col>
      <xdr:colOff>375558</xdr:colOff>
      <xdr:row>22</xdr:row>
      <xdr:rowOff>47387</xdr:rowOff>
    </xdr:to>
    <xdr:sp macro="" textlink="">
      <xdr:nvSpPr>
        <xdr:cNvPr id="258" name="TextBox 157">
          <a:extLst>
            <a:ext uri="{FF2B5EF4-FFF2-40B4-BE49-F238E27FC236}">
              <a16:creationId xmlns:a16="http://schemas.microsoft.com/office/drawing/2014/main" id="{FAA96CF3-DFD0-4EA9-B25C-2E2B6311F8A7}"/>
            </a:ext>
          </a:extLst>
        </xdr:cNvPr>
        <xdr:cNvSpPr txBox="1"/>
      </xdr:nvSpPr>
      <xdr:spPr>
        <a:xfrm>
          <a:off x="1342264" y="2313216"/>
          <a:ext cx="872033" cy="10637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339003</xdr:colOff>
      <xdr:row>9</xdr:row>
      <xdr:rowOff>88449</xdr:rowOff>
    </xdr:from>
    <xdr:to>
      <xdr:col>10</xdr:col>
      <xdr:colOff>89807</xdr:colOff>
      <xdr:row>13</xdr:row>
      <xdr:rowOff>139305</xdr:rowOff>
    </xdr:to>
    <xdr:sp macro="" textlink="">
      <xdr:nvSpPr>
        <xdr:cNvPr id="130" name="TextBox 157">
          <a:extLst>
            <a:ext uri="{FF2B5EF4-FFF2-40B4-BE49-F238E27FC236}">
              <a16:creationId xmlns:a16="http://schemas.microsoft.com/office/drawing/2014/main" id="{633309AC-4AB8-45A3-B14D-A93B93B5A2BD}"/>
            </a:ext>
          </a:extLst>
        </xdr:cNvPr>
        <xdr:cNvSpPr txBox="1"/>
      </xdr:nvSpPr>
      <xdr:spPr>
        <a:xfrm>
          <a:off x="2553566" y="1421949"/>
          <a:ext cx="893804" cy="64616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167043</xdr:colOff>
      <xdr:row>10</xdr:row>
      <xdr:rowOff>114300</xdr:rowOff>
    </xdr:from>
    <xdr:to>
      <xdr:col>12</xdr:col>
      <xdr:colOff>298847</xdr:colOff>
      <xdr:row>17</xdr:row>
      <xdr:rowOff>57663</xdr:rowOff>
    </xdr:to>
    <xdr:sp macro="" textlink="">
      <xdr:nvSpPr>
        <xdr:cNvPr id="131" name="TextBox 157">
          <a:extLst>
            <a:ext uri="{FF2B5EF4-FFF2-40B4-BE49-F238E27FC236}">
              <a16:creationId xmlns:a16="http://schemas.microsoft.com/office/drawing/2014/main" id="{A1725AC8-A804-4055-A87E-22A005BF802D}"/>
            </a:ext>
          </a:extLst>
        </xdr:cNvPr>
        <xdr:cNvSpPr txBox="1"/>
      </xdr:nvSpPr>
      <xdr:spPr>
        <a:xfrm>
          <a:off x="3519843" y="1657350"/>
          <a:ext cx="893804" cy="101968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160748</xdr:colOff>
      <xdr:row>19</xdr:row>
      <xdr:rowOff>90150</xdr:rowOff>
    </xdr:from>
    <xdr:to>
      <xdr:col>17</xdr:col>
      <xdr:colOff>292552</xdr:colOff>
      <xdr:row>23</xdr:row>
      <xdr:rowOff>134032</xdr:rowOff>
    </xdr:to>
    <xdr:sp macro="" textlink="">
      <xdr:nvSpPr>
        <xdr:cNvPr id="133" name="TextBox 157">
          <a:extLst>
            <a:ext uri="{FF2B5EF4-FFF2-40B4-BE49-F238E27FC236}">
              <a16:creationId xmlns:a16="http://schemas.microsoft.com/office/drawing/2014/main" id="{BF4C4C19-9DE5-4A81-8470-73732E4D285A}"/>
            </a:ext>
          </a:extLst>
        </xdr:cNvPr>
        <xdr:cNvSpPr txBox="1"/>
      </xdr:nvSpPr>
      <xdr:spPr>
        <a:xfrm>
          <a:off x="5418548" y="3014325"/>
          <a:ext cx="893804" cy="65348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44276</xdr:colOff>
      <xdr:row>35</xdr:row>
      <xdr:rowOff>148945</xdr:rowOff>
    </xdr:from>
    <xdr:to>
      <xdr:col>17</xdr:col>
      <xdr:colOff>176895</xdr:colOff>
      <xdr:row>36</xdr:row>
      <xdr:rowOff>131528</xdr:rowOff>
    </xdr:to>
    <xdr:grpSp>
      <xdr:nvGrpSpPr>
        <xdr:cNvPr id="88" name="Group 13">
          <a:extLst>
            <a:ext uri="{FF2B5EF4-FFF2-40B4-BE49-F238E27FC236}">
              <a16:creationId xmlns:a16="http://schemas.microsoft.com/office/drawing/2014/main" id="{90359F5C-31C5-47B9-A16A-DEBE7979FFAD}"/>
            </a:ext>
          </a:extLst>
        </xdr:cNvPr>
        <xdr:cNvGrpSpPr/>
      </xdr:nvGrpSpPr>
      <xdr:grpSpPr>
        <a:xfrm rot="1105862">
          <a:off x="6073041" y="5628621"/>
          <a:ext cx="132619" cy="13946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9" name="Oval 1">
            <a:extLst>
              <a:ext uri="{FF2B5EF4-FFF2-40B4-BE49-F238E27FC236}">
                <a16:creationId xmlns:a16="http://schemas.microsoft.com/office/drawing/2014/main" id="{EBB079A0-5BDF-205F-584E-F5E15888600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" name="Straight Connector 3">
            <a:extLst>
              <a:ext uri="{FF2B5EF4-FFF2-40B4-BE49-F238E27FC236}">
                <a16:creationId xmlns:a16="http://schemas.microsoft.com/office/drawing/2014/main" id="{E0274113-4765-2A24-9F1C-E739ACBD696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">
            <a:extLst>
              <a:ext uri="{FF2B5EF4-FFF2-40B4-BE49-F238E27FC236}">
                <a16:creationId xmlns:a16="http://schemas.microsoft.com/office/drawing/2014/main" id="{B3E37474-E369-D742-C386-C0E5765F280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14968</xdr:colOff>
      <xdr:row>42</xdr:row>
      <xdr:rowOff>99122</xdr:rowOff>
    </xdr:from>
    <xdr:to>
      <xdr:col>17</xdr:col>
      <xdr:colOff>147587</xdr:colOff>
      <xdr:row>43</xdr:row>
      <xdr:rowOff>65220</xdr:rowOff>
    </xdr:to>
    <xdr:grpSp>
      <xdr:nvGrpSpPr>
        <xdr:cNvPr id="115" name="Group 13">
          <a:extLst>
            <a:ext uri="{FF2B5EF4-FFF2-40B4-BE49-F238E27FC236}">
              <a16:creationId xmlns:a16="http://schemas.microsoft.com/office/drawing/2014/main" id="{EBB1D686-4E88-47D8-8754-15E64639B213}"/>
            </a:ext>
          </a:extLst>
        </xdr:cNvPr>
        <xdr:cNvGrpSpPr/>
      </xdr:nvGrpSpPr>
      <xdr:grpSpPr>
        <a:xfrm rot="439452">
          <a:off x="6043733" y="6676975"/>
          <a:ext cx="132619" cy="12298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7" name="Oval 1">
            <a:extLst>
              <a:ext uri="{FF2B5EF4-FFF2-40B4-BE49-F238E27FC236}">
                <a16:creationId xmlns:a16="http://schemas.microsoft.com/office/drawing/2014/main" id="{84BBB336-03D5-9ED0-CB60-FB43927B789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3">
            <a:extLst>
              <a:ext uri="{FF2B5EF4-FFF2-40B4-BE49-F238E27FC236}">
                <a16:creationId xmlns:a16="http://schemas.microsoft.com/office/drawing/2014/main" id="{CA4BDAC5-ECB3-B4E1-10D7-ECB6AAAAAB9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7">
            <a:extLst>
              <a:ext uri="{FF2B5EF4-FFF2-40B4-BE49-F238E27FC236}">
                <a16:creationId xmlns:a16="http://schemas.microsoft.com/office/drawing/2014/main" id="{D505DBCE-9815-9055-87B6-231BF229089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63055</xdr:colOff>
      <xdr:row>39</xdr:row>
      <xdr:rowOff>13780</xdr:rowOff>
    </xdr:from>
    <xdr:to>
      <xdr:col>17</xdr:col>
      <xdr:colOff>130800</xdr:colOff>
      <xdr:row>40</xdr:row>
      <xdr:rowOff>63309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05A0ED7E-3DCD-4547-8540-42DACBC1F703}"/>
            </a:ext>
          </a:extLst>
        </xdr:cNvPr>
        <xdr:cNvGrpSpPr/>
      </xdr:nvGrpSpPr>
      <xdr:grpSpPr>
        <a:xfrm rot="4960649">
          <a:off x="6022487" y="6190319"/>
          <a:ext cx="206411" cy="67745"/>
          <a:chOff x="4055240" y="6230671"/>
          <a:chExt cx="209723" cy="67745"/>
        </a:xfrm>
      </xdr:grpSpPr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47E173AB-BB9F-AB3A-CE79-336E4130A13C}"/>
              </a:ext>
            </a:extLst>
          </xdr:cNvPr>
          <xdr:cNvCxnSpPr/>
        </xdr:nvCxnSpPr>
        <xdr:spPr>
          <a:xfrm flipV="1">
            <a:off x="4055240" y="6230671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E5C54ACA-94A6-30BC-444B-E8185D70E4F3}"/>
              </a:ext>
            </a:extLst>
          </xdr:cNvPr>
          <xdr:cNvCxnSpPr/>
        </xdr:nvCxnSpPr>
        <xdr:spPr>
          <a:xfrm flipV="1">
            <a:off x="4097223" y="6233103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C607907E-1127-3328-9C53-32EC3475BF4B}"/>
              </a:ext>
            </a:extLst>
          </xdr:cNvPr>
          <xdr:cNvCxnSpPr/>
        </xdr:nvCxnSpPr>
        <xdr:spPr>
          <a:xfrm flipV="1">
            <a:off x="4141167" y="6239588"/>
            <a:ext cx="123796" cy="5882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328968</xdr:colOff>
      <xdr:row>14</xdr:row>
      <xdr:rowOff>9525</xdr:rowOff>
    </xdr:from>
    <xdr:to>
      <xdr:col>15</xdr:col>
      <xdr:colOff>79772</xdr:colOff>
      <xdr:row>20</xdr:row>
      <xdr:rowOff>114813</xdr:rowOff>
    </xdr:to>
    <xdr:sp macro="" textlink="">
      <xdr:nvSpPr>
        <xdr:cNvPr id="191" name="TextBox 157">
          <a:extLst>
            <a:ext uri="{FF2B5EF4-FFF2-40B4-BE49-F238E27FC236}">
              <a16:creationId xmlns:a16="http://schemas.microsoft.com/office/drawing/2014/main" id="{15A63443-0356-4D3D-A0A1-187A7E0B84AF}"/>
            </a:ext>
          </a:extLst>
        </xdr:cNvPr>
        <xdr:cNvSpPr txBox="1"/>
      </xdr:nvSpPr>
      <xdr:spPr>
        <a:xfrm>
          <a:off x="4443768" y="2171700"/>
          <a:ext cx="893804" cy="101968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MGN.03.../3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12</xdr:col>
      <xdr:colOff>324526</xdr:colOff>
      <xdr:row>45</xdr:row>
      <xdr:rowOff>126486</xdr:rowOff>
    </xdr:from>
    <xdr:to>
      <xdr:col>17</xdr:col>
      <xdr:colOff>51955</xdr:colOff>
      <xdr:row>51</xdr:row>
      <xdr:rowOff>103909</xdr:rowOff>
    </xdr:to>
    <xdr:sp macro="" textlink="">
      <xdr:nvSpPr>
        <xdr:cNvPr id="11" name="TextBox 157">
          <a:extLst>
            <a:ext uri="{FF2B5EF4-FFF2-40B4-BE49-F238E27FC236}">
              <a16:creationId xmlns:a16="http://schemas.microsoft.com/office/drawing/2014/main" id="{37541E80-2219-41DD-A0D1-A753380D3E1D}"/>
            </a:ext>
          </a:extLst>
        </xdr:cNvPr>
        <xdr:cNvSpPr txBox="1"/>
      </xdr:nvSpPr>
      <xdr:spPr>
        <a:xfrm>
          <a:off x="6940071" y="7192304"/>
          <a:ext cx="2844702" cy="9126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wrap="square" rtlCol="0" anchor="ctr"/>
        <a:lstStyle/>
        <a:p>
          <a:pPr algn="ctr"/>
          <a:r>
            <a:rPr lang="en-ID" sz="18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PERUMAHAN</a:t>
          </a:r>
        </a:p>
        <a:p>
          <a:pPr algn="ctr"/>
          <a:r>
            <a:rPr lang="en-ID" sz="18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CEMARA</a:t>
          </a:r>
          <a:r>
            <a:rPr lang="en-ID" sz="1800" b="1" baseline="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 SAE RESIDENCE</a:t>
          </a:r>
          <a:endParaRPr lang="en-ID" sz="1800" b="1">
            <a:solidFill>
              <a:srgbClr val="FFFF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34636</xdr:colOff>
      <xdr:row>9</xdr:row>
      <xdr:rowOff>86591</xdr:rowOff>
    </xdr:from>
    <xdr:to>
      <xdr:col>28</xdr:col>
      <xdr:colOff>190499</xdr:colOff>
      <xdr:row>60</xdr:row>
      <xdr:rowOff>121227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3E0FB0F-E1B6-28C3-EB77-A3CF5864D1D3}"/>
            </a:ext>
          </a:extLst>
        </xdr:cNvPr>
        <xdr:cNvGrpSpPr/>
      </xdr:nvGrpSpPr>
      <xdr:grpSpPr>
        <a:xfrm>
          <a:off x="864672" y="1596984"/>
          <a:ext cx="15137327" cy="8362207"/>
          <a:chOff x="865909" y="1385455"/>
          <a:chExt cx="15084135" cy="8278090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95DF6726-4B5C-E32C-3B36-55B278D265E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0067" t="9055" r="-1320" b="6349"/>
          <a:stretch/>
        </xdr:blipFill>
        <xdr:spPr>
          <a:xfrm>
            <a:off x="865909" y="1385455"/>
            <a:ext cx="15084135" cy="8278090"/>
          </a:xfrm>
          <a:prstGeom prst="rect">
            <a:avLst/>
          </a:prstGeom>
        </xdr:spPr>
      </xdr:pic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96979FBC-03EF-11A5-B688-6358D33884B7}"/>
              </a:ext>
            </a:extLst>
          </xdr:cNvPr>
          <xdr:cNvSpPr/>
        </xdr:nvSpPr>
        <xdr:spPr>
          <a:xfrm>
            <a:off x="9265227" y="7119009"/>
            <a:ext cx="2337955" cy="2267446"/>
          </a:xfrm>
          <a:custGeom>
            <a:avLst/>
            <a:gdLst>
              <a:gd name="connsiteX0" fmla="*/ 1034143 w 1224643"/>
              <a:gd name="connsiteY0" fmla="*/ 258536 h 1347107"/>
              <a:gd name="connsiteX1" fmla="*/ 408215 w 1224643"/>
              <a:gd name="connsiteY1" fmla="*/ 0 h 1347107"/>
              <a:gd name="connsiteX2" fmla="*/ 0 w 1224643"/>
              <a:gd name="connsiteY2" fmla="*/ 938893 h 1347107"/>
              <a:gd name="connsiteX3" fmla="*/ 231322 w 1224643"/>
              <a:gd name="connsiteY3" fmla="*/ 1265464 h 1347107"/>
              <a:gd name="connsiteX4" fmla="*/ 544286 w 1224643"/>
              <a:gd name="connsiteY4" fmla="*/ 1347107 h 1347107"/>
              <a:gd name="connsiteX5" fmla="*/ 843643 w 1224643"/>
              <a:gd name="connsiteY5" fmla="*/ 1333500 h 1347107"/>
              <a:gd name="connsiteX6" fmla="*/ 979715 w 1224643"/>
              <a:gd name="connsiteY6" fmla="*/ 1211036 h 1347107"/>
              <a:gd name="connsiteX7" fmla="*/ 1224643 w 1224643"/>
              <a:gd name="connsiteY7" fmla="*/ 299357 h 1347107"/>
              <a:gd name="connsiteX8" fmla="*/ 1034143 w 1224643"/>
              <a:gd name="connsiteY8" fmla="*/ 258536 h 13471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224643" h="1347107">
                <a:moveTo>
                  <a:pt x="1034143" y="258536"/>
                </a:moveTo>
                <a:lnTo>
                  <a:pt x="408215" y="0"/>
                </a:lnTo>
                <a:lnTo>
                  <a:pt x="0" y="938893"/>
                </a:lnTo>
                <a:lnTo>
                  <a:pt x="231322" y="1265464"/>
                </a:lnTo>
                <a:lnTo>
                  <a:pt x="544286" y="1347107"/>
                </a:lnTo>
                <a:lnTo>
                  <a:pt x="843643" y="1333500"/>
                </a:lnTo>
                <a:lnTo>
                  <a:pt x="979715" y="1211036"/>
                </a:lnTo>
                <a:lnTo>
                  <a:pt x="1224643" y="299357"/>
                </a:lnTo>
                <a:lnTo>
                  <a:pt x="1034143" y="258536"/>
                </a:lnTo>
                <a:close/>
              </a:path>
            </a:pathLst>
          </a:custGeom>
          <a:solidFill>
            <a:srgbClr val="FF6699">
              <a:alpha val="28000"/>
            </a:srgbClr>
          </a:solidFill>
          <a:ln>
            <a:solidFill>
              <a:srgbClr val="FFC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ID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51954</xdr:colOff>
      <xdr:row>19</xdr:row>
      <xdr:rowOff>121227</xdr:rowOff>
    </xdr:from>
    <xdr:to>
      <xdr:col>18</xdr:col>
      <xdr:colOff>588818</xdr:colOff>
      <xdr:row>40</xdr:row>
      <xdr:rowOff>0</xdr:rowOff>
    </xdr:to>
    <xdr:sp macro="" textlink="">
      <xdr:nvSpPr>
        <xdr:cNvPr id="12" name="Freeform: Shape 11">
          <a:extLst>
            <a:ext uri="{FF2B5EF4-FFF2-40B4-BE49-F238E27FC236}">
              <a16:creationId xmlns:a16="http://schemas.microsoft.com/office/drawing/2014/main" id="{B17CE010-4198-3D02-66BF-4A020975EDAA}"/>
            </a:ext>
          </a:extLst>
        </xdr:cNvPr>
        <xdr:cNvSpPr/>
      </xdr:nvSpPr>
      <xdr:spPr>
        <a:xfrm>
          <a:off x="4797136" y="3134591"/>
          <a:ext cx="6147955" cy="3151909"/>
        </a:xfrm>
        <a:custGeom>
          <a:avLst/>
          <a:gdLst>
            <a:gd name="connsiteX0" fmla="*/ 0 w 6147955"/>
            <a:gd name="connsiteY0" fmla="*/ 0 h 3151909"/>
            <a:gd name="connsiteX1" fmla="*/ 51955 w 6147955"/>
            <a:gd name="connsiteY1" fmla="*/ 0 h 3151909"/>
            <a:gd name="connsiteX2" fmla="*/ 502228 w 6147955"/>
            <a:gd name="connsiteY2" fmla="*/ 502227 h 3151909"/>
            <a:gd name="connsiteX3" fmla="*/ 1991591 w 6147955"/>
            <a:gd name="connsiteY3" fmla="*/ 1316182 h 3151909"/>
            <a:gd name="connsiteX4" fmla="*/ 2840182 w 6147955"/>
            <a:gd name="connsiteY4" fmla="*/ 1974273 h 3151909"/>
            <a:gd name="connsiteX5" fmla="*/ 6147955 w 6147955"/>
            <a:gd name="connsiteY5" fmla="*/ 3151909 h 3151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147955" h="3151909">
              <a:moveTo>
                <a:pt x="0" y="0"/>
              </a:moveTo>
              <a:lnTo>
                <a:pt x="51955" y="0"/>
              </a:lnTo>
              <a:lnTo>
                <a:pt x="502228" y="502227"/>
              </a:lnTo>
              <a:lnTo>
                <a:pt x="1991591" y="1316182"/>
              </a:lnTo>
              <a:lnTo>
                <a:pt x="2840182" y="1974273"/>
              </a:lnTo>
              <a:lnTo>
                <a:pt x="6147955" y="3151909"/>
              </a:ln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39729</xdr:colOff>
      <xdr:row>12</xdr:row>
      <xdr:rowOff>69273</xdr:rowOff>
    </xdr:from>
    <xdr:to>
      <xdr:col>28</xdr:col>
      <xdr:colOff>155863</xdr:colOff>
      <xdr:row>61</xdr:row>
      <xdr:rowOff>134470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1EE4D6-465D-3280-413B-9DAAF20118CF}"/>
            </a:ext>
          </a:extLst>
        </xdr:cNvPr>
        <xdr:cNvGrpSpPr/>
      </xdr:nvGrpSpPr>
      <xdr:grpSpPr>
        <a:xfrm>
          <a:off x="1155515" y="1987880"/>
          <a:ext cx="14335598" cy="8066197"/>
          <a:chOff x="3574676" y="4591356"/>
          <a:chExt cx="8555182" cy="460867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45AE1B1-C303-B91C-98D9-32A4972CBF0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rcRect l="6123" t="26755" r="29048" b="14762"/>
          <a:stretch/>
        </xdr:blipFill>
        <xdr:spPr>
          <a:xfrm>
            <a:off x="3709147" y="4591356"/>
            <a:ext cx="8420711" cy="4306116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9E3F0F4-9295-226D-C286-4D1F228B5FC7}"/>
              </a:ext>
            </a:extLst>
          </xdr:cNvPr>
          <xdr:cNvSpPr/>
        </xdr:nvSpPr>
        <xdr:spPr>
          <a:xfrm>
            <a:off x="3574676" y="7989794"/>
            <a:ext cx="2476500" cy="1210235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15</xdr:col>
      <xdr:colOff>27919</xdr:colOff>
      <xdr:row>17</xdr:row>
      <xdr:rowOff>145677</xdr:rowOff>
    </xdr:from>
    <xdr:to>
      <xdr:col>17</xdr:col>
      <xdr:colOff>254155</xdr:colOff>
      <xdr:row>24</xdr:row>
      <xdr:rowOff>92135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A5CC482-47CB-4EAD-A04E-BF29AF6F97F8}"/>
            </a:ext>
          </a:extLst>
        </xdr:cNvPr>
        <xdr:cNvSpPr/>
      </xdr:nvSpPr>
      <xdr:spPr>
        <a:xfrm>
          <a:off x="7782390" y="2767853"/>
          <a:ext cx="1436471" cy="1044635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Perumahan 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r>
            <a:rPr lang="en-US" sz="1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CEMARA SAE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254155</xdr:colOff>
      <xdr:row>21</xdr:row>
      <xdr:rowOff>40465</xdr:rowOff>
    </xdr:from>
    <xdr:to>
      <xdr:col>20</xdr:col>
      <xdr:colOff>493059</xdr:colOff>
      <xdr:row>27</xdr:row>
      <xdr:rowOff>89647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74ED48D-9049-428B-91FA-BB7990F44A26}"/>
            </a:ext>
          </a:extLst>
        </xdr:cNvPr>
        <xdr:cNvCxnSpPr>
          <a:stCxn id="3" idx="3"/>
        </xdr:cNvCxnSpPr>
      </xdr:nvCxnSpPr>
      <xdr:spPr>
        <a:xfrm>
          <a:off x="9218861" y="3290171"/>
          <a:ext cx="2054257" cy="99047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201705</xdr:colOff>
      <xdr:row>26</xdr:row>
      <xdr:rowOff>22412</xdr:rowOff>
    </xdr:from>
    <xdr:to>
      <xdr:col>21</xdr:col>
      <xdr:colOff>67235</xdr:colOff>
      <xdr:row>28</xdr:row>
      <xdr:rowOff>123265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FDF22B4A-B2B0-713C-656C-3F9202042F0F}"/>
            </a:ext>
          </a:extLst>
        </xdr:cNvPr>
        <xdr:cNvSpPr/>
      </xdr:nvSpPr>
      <xdr:spPr>
        <a:xfrm>
          <a:off x="10981764" y="4056530"/>
          <a:ext cx="470647" cy="414617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ID" sz="14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4">
          <cell r="D4">
            <v>1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/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/>
      <sheetData sheetId="234"/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1133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42</v>
      </c>
      <c r="E7" s="519" t="s">
        <v>43</v>
      </c>
      <c r="F7" s="519" t="s">
        <v>1134</v>
      </c>
      <c r="G7" s="520" t="s">
        <v>41</v>
      </c>
      <c r="H7" s="516" t="s">
        <v>1042</v>
      </c>
      <c r="I7" s="516" t="s">
        <v>1136</v>
      </c>
      <c r="J7" s="516" t="s">
        <v>1026</v>
      </c>
      <c r="K7" s="510" t="s">
        <v>1024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54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54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6</v>
      </c>
      <c r="G15" s="41">
        <f ca="1">IF(ISERROR(OFFSET('HARGA SATUAN'!$I$6,MATCH(C15,'HARGA SATUAN'!$C$7:$C$1495,0),0)),"",OFFSET('HARGA SATUAN'!$I$6,MATCH(C15,'HARGA SATUAN'!$C$7:$C$1495,0),0))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30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70-150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Set</v>
      </c>
      <c r="F16" s="138">
        <f t="shared" ca="1" si="2"/>
        <v>4</v>
      </c>
      <c r="G16" s="41">
        <f ca="1">IF(ISERROR(OFFSET('HARGA SATUAN'!$I$6,MATCH(C16,'HARGA SATUAN'!$C$7:$C$1495,0),0)),"",OFFSET('HARGA SATUAN'!$I$6,MATCH(C16,'HARGA SATUAN'!$C$7:$C$1495,0),0))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82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542</v>
      </c>
      <c r="G18" s="41">
        <f ca="1">IF(ISERROR(OFFSET('HARGA SATUAN'!$I$6,MATCH(C18,'HARGA SATUAN'!$C$7:$C$1495,0),0)),"",OFFSET('HARGA SATUAN'!$I$6,MATCH(C18,'HARGA SATUAN'!$C$7:$C$1495,0),0))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1350</v>
      </c>
      <c r="G19" s="41">
        <f ca="1">IF(ISERROR(OFFSET('HARGA SATUAN'!$I$6,MATCH(C19,'HARGA SATUAN'!$C$7:$C$1495,0),0)),"",OFFSET('HARGA SATUAN'!$I$6,MATCH(C19,'HARGA SATUAN'!$C$7:$C$1495,0),0))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SUMIFS(RAB!$F$14:$F$179,RAB!$C$14:$C$179,C714)</f>
        <v>54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SUMIFS(RAB!$F$14:$F$179,RAB!$C$14:$C$179,C715)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SUMIFS(RAB!$F$14:$F$179,RAB!$C$14:$C$179,C716)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SUMIFS(RAB!$F$14:$F$179,RAB!$C$14:$C$179,C717)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SUMIFS(RAB!$F$14:$F$179,RAB!$C$14:$C$179,C718)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SUMIFS(RAB!$F$14:$F$179,RAB!$C$14:$C$179,C719)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SUMIFS(RAB!$F$14:$F$179,RAB!$C$14:$C$179,C720)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SUMIFS(RAB!$F$14:$F$179,RAB!$C$14:$C$179,C721)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SUMIFS(RAB!$F$14:$F$179,RAB!$C$14:$C$179,C722)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SUMIFS(RAB!$F$14:$F$179,RAB!$C$14:$C$179,C723)</f>
        <v>54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SUMIFS(RAB!$F$14:$F$179,RAB!$C$14:$C$179,C724)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SUMIFS(RAB!$F$14:$F$179,RAB!$C$14:$C$179,C725)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SUMIFS(RAB!$F$14:$F$179,RAB!$C$14:$C$179,C726)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SUMIFS(RAB!$F$14:$F$179,RAB!$C$14:$C$179,C727)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SUMIFS(RAB!$F$14:$F$179,RAB!$C$14:$C$179,C728)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SUMIFS(RAB!$F$14:$F$179,RAB!$C$14:$C$179,C729)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SUMIFS(RAB!$F$14:$F$179,RAB!$C$14:$C$179,C730)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SUMIFS(RAB!$F$14:$F$179,RAB!$C$14:$C$179,C731)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SUMIFS(RAB!$F$14:$F$179,RAB!$C$14:$C$179,C732)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SUMIFS(RAB!$F$14:$F$179,RAB!$C$14:$C$179,C733)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SUMIFS(RAB!$F$14:$F$179,RAB!$C$14:$C$179,C734)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SUMIFS(RAB!$F$14:$F$179,RAB!$C$14:$C$179,C735)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SUMIFS(RAB!$F$14:$F$179,RAB!$C$14:$C$179,C736)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SUMIFS(RAB!$F$14:$F$179,RAB!$C$14:$C$179,C737)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SUMIFS(RAB!$F$14:$F$179,RAB!$C$14:$C$179,C738)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SUMIFS(RAB!$F$14:$F$179,RAB!$C$14:$C$179,C739)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SUMIFS(RAB!$F$14:$F$179,RAB!$C$14:$C$179,C740)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SUMIFS(RAB!$F$14:$F$179,RAB!$C$14:$C$179,C741)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SUMIFS(RAB!$F$14:$F$179,RAB!$C$14:$C$179,C742)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SUMIFS(RAB!$F$14:$F$179,RAB!$C$14:$C$179,C743)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SUMIFS(RAB!$F$14:$F$179,RAB!$C$14:$C$179,C744)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SUMIFS(RAB!$F$14:$F$179,RAB!$C$14:$C$179,C745)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SUMIFS(RAB!$F$14:$F$179,RAB!$C$14:$C$179,C746)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SUMIFS(RAB!$F$14:$F$179,RAB!$C$14:$C$179,C747)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SUMIFS(RAB!$F$14:$F$179,RAB!$C$14:$C$179,C748)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SUMIFS(RAB!$F$14:$F$179,RAB!$C$14:$C$179,C749)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SUMIFS(RAB!$F$14:$F$179,RAB!$C$14:$C$179,C750)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SUMIFS(RAB!$F$14:$F$179,RAB!$C$14:$C$179,C751)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SUMIFS(RAB!$F$14:$F$179,RAB!$C$14:$C$179,C752)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SUMIFS(RAB!$F$14:$F$179,RAB!$C$14:$C$179,C753)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SUMIFS(RAB!$F$14:$F$179,RAB!$C$14:$C$179,C754)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SUMIFS(RAB!$F$14:$F$179,RAB!$C$14:$C$179,C755)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SUMIFS(RAB!$F$14:$F$179,RAB!$C$14:$C$179,C756)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SUMIFS(RAB!$F$14:$F$179,RAB!$C$14:$C$179,C757)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SUMIFS(RAB!$F$14:$F$179,RAB!$C$14:$C$179,C758)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SUMIFS(RAB!$F$14:$F$179,RAB!$C$14:$C$179,C759)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SUMIFS(RAB!$F$14:$F$179,RAB!$C$14:$C$179,C760)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SUMIFS(RAB!$F$14:$F$179,RAB!$C$14:$C$179,C761)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SUMIFS(RAB!$F$14:$F$179,RAB!$C$14:$C$179,C762)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SUMIFS(RAB!$F$14:$F$179,RAB!$C$14:$C$179,C763)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SUMIFS(RAB!$F$14:$F$179,RAB!$C$14:$C$179,C764)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SUMIFS(RAB!$F$14:$F$179,RAB!$C$14:$C$179,C765)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SUMIFS(RAB!$F$14:$F$179,RAB!$C$14:$C$179,C766)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SUMIFS(RAB!$F$14:$F$179,RAB!$C$14:$C$179,C767)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SUMIFS(RAB!$F$14:$F$179,RAB!$C$14:$C$179,C768)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SUMIFS(RAB!$F$14:$F$179,RAB!$C$14:$C$179,C769)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SUMIFS(RAB!$F$14:$F$179,RAB!$C$14:$C$179,C770)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SUMIFS(RAB!$F$14:$F$179,RAB!$C$14:$C$179,C771)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SUMIFS(RAB!$F$14:$F$179,RAB!$C$14:$C$179,C772)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SUMIFS(RAB!$F$14:$F$179,RAB!$C$14:$C$179,C773)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SUMIFS(RAB!$F$14:$F$179,RAB!$C$14:$C$179,C774)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SUMIFS(RAB!$F$14:$F$179,RAB!$C$14:$C$179,C775)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SUMIFS(RAB!$F$14:$F$179,RAB!$C$14:$C$179,C776)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SUMIFS(RAB!$F$14:$F$179,RAB!$C$14:$C$179,C777)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SUMIFS(RAB!$F$14:$F$179,RAB!$C$14:$C$179,C778)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SUMIFS(RAB!$F$14:$F$179,RAB!$C$14:$C$179,C779)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SUMIFS(RAB!$F$14:$F$179,RAB!$C$14:$C$179,C780)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SUMIFS(RAB!$F$14:$F$179,RAB!$C$14:$C$179,C781)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SUMIFS(RAB!$F$14:$F$179,RAB!$C$14:$C$179,C782)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SUMIFS(RAB!$F$14:$F$179,RAB!$C$14:$C$179,C783)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SUMIFS(RAB!$F$14:$F$179,RAB!$C$14:$C$179,C784)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SUMIFS(RAB!$F$14:$F$179,RAB!$C$14:$C$179,C785)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SUMIFS(RAB!$F$14:$F$179,RAB!$C$14:$C$179,C786)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SUMIFS(RAB!$F$14:$F$179,RAB!$C$14:$C$179,C787)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SUMIFS(RAB!$F$14:$F$179,RAB!$C$14:$C$179,C788)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SUMIFS(RAB!$F$14:$F$179,RAB!$C$14:$C$179,C789)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SUMIFS(RAB!$F$14:$F$179,RAB!$C$14:$C$179,C790)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SUMIFS(RAB!$F$14:$F$179,RAB!$C$14:$C$179,C791)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SUMIFS(RAB!$F$14:$F$179,RAB!$C$14:$C$179,C792)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SUMIFS(RAB!$F$14:$F$179,RAB!$C$14:$C$179,C793)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SUMIFS(RAB!$F$14:$F$179,RAB!$C$14:$C$179,C794)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SUMIFS(RAB!$F$14:$F$179,RAB!$C$14:$C$179,C795)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SUMIFS(RAB!$F$14:$F$179,RAB!$C$14:$C$179,C796)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SUMIFS(RAB!$F$14:$F$179,RAB!$C$14:$C$179,C797)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SUMIFS(RAB!$F$14:$F$179,RAB!$C$14:$C$179,C798)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SUMIFS(RAB!$F$14:$F$179,RAB!$C$14:$C$179,C799)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SUMIFS(RAB!$F$14:$F$179,RAB!$C$14:$C$179,C800)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SUMIFS(RAB!$F$14:$F$179,RAB!$C$14:$C$179,C801)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SUMIFS(RAB!$F$14:$F$179,RAB!$C$14:$C$179,C802)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SUMIFS(RAB!$F$14:$F$179,RAB!$C$14:$C$179,C803)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SUMIFS(RAB!$F$14:$F$179,RAB!$C$14:$C$179,C804)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SUMIFS(RAB!$F$14:$F$179,RAB!$C$14:$C$179,C805)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SUMIFS(RAB!$F$14:$F$179,RAB!$C$14:$C$179,C806)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SUMIFS(RAB!$F$14:$F$179,RAB!$C$14:$C$179,C807)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SUMIFS(RAB!$F$14:$F$179,RAB!$C$14:$C$179,C808)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SUMIFS(RAB!$F$14:$F$179,RAB!$C$14:$C$179,C809)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SUMIFS(RAB!$F$14:$F$179,RAB!$C$14:$C$179,C810)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SUMIFS(RAB!$F$14:$F$179,RAB!$C$14:$C$179,C811)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SUMIFS(RAB!$F$14:$F$179,RAB!$C$14:$C$179,C812)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SUMIFS(RAB!$F$14:$F$179,RAB!$C$14:$C$179,C813)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SUMIFS(RAB!$F$14:$F$179,RAB!$C$14:$C$179,C814)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SUMIFS(RAB!$F$14:$F$179,RAB!$C$14:$C$179,C815)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SUMIFS(RAB!$F$14:$F$179,RAB!$C$14:$C$179,C816)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SUMIFS(RAB!$F$14:$F$179,RAB!$C$14:$C$179,C817)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SUMIFS(RAB!$F$14:$F$179,RAB!$C$14:$C$179,C818)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SUMIFS(RAB!$F$14:$F$179,RAB!$C$14:$C$179,C819)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SUMIFS(RAB!$F$14:$F$179,RAB!$C$14:$C$179,C820)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SUMIFS(RAB!$F$14:$F$179,RAB!$C$14:$C$179,C821)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SUMIFS(RAB!$F$14:$F$179,RAB!$C$14:$C$179,C822)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SUMIFS(RAB!$F$14:$F$179,RAB!$C$14:$C$179,C823)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SUMIFS(RAB!$F$14:$F$179,RAB!$C$14:$C$179,C824)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SUMIFS(RAB!$F$14:$F$179,RAB!$C$14:$C$179,C825)</f>
        <v>6</v>
      </c>
      <c r="E825" s="26">
        <f t="shared" ca="1" si="34"/>
        <v>1</v>
      </c>
      <c r="F825" s="26">
        <f ca="1">IF(D825=0,0,SUM($E$713:E825))</f>
        <v>4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SUMIFS(RAB!$F$14:$F$179,RAB!$C$14:$C$179,C826)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SUMIFS(RAB!$F$14:$F$179,RAB!$C$14:$C$179,C827)</f>
        <v>4</v>
      </c>
      <c r="E827" s="26">
        <f t="shared" ca="1" si="34"/>
        <v>1</v>
      </c>
      <c r="F827" s="26">
        <f ca="1">IF(D827=0,0,SUM($E$713:E827))</f>
        <v>5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SUMIFS(RAB!$F$14:$F$179,RAB!$C$14:$C$179,C828)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SUMIFS(RAB!$F$14:$F$179,RAB!$C$14:$C$179,C829)</f>
        <v>82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SUMIFS(RAB!$F$14:$F$179,RAB!$C$14:$C$179,C830)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SUMIFS(RAB!$F$14:$F$179,RAB!$C$14:$C$179,C831)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SUMIFS(RAB!$F$14:$F$179,RAB!$C$14:$C$179,C832)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SUMIFS(RAB!$F$14:$F$179,RAB!$C$14:$C$179,C833)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SUMIFS(RAB!$F$14:$F$179,RAB!$C$14:$C$179,C834)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SUMIFS(RAB!$F$14:$F$179,RAB!$C$14:$C$179,C835)</f>
        <v>542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SUMIFS(RAB!$F$14:$F$179,RAB!$C$14:$C$179,C836)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SUMIFS(RAB!$F$14:$F$179,RAB!$C$14:$C$179,C837)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SUMIFS(RAB!$F$14:$F$179,RAB!$C$14:$C$179,C838)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SUMIFS(RAB!$F$14:$F$179,RAB!$C$14:$C$179,C839)</f>
        <v>1350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SUMIFS(RAB!$F$14:$F$179,RAB!$C$14:$C$179,C840)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SUMIFS(RAB!$F$14:$F$179,RAB!$C$14:$C$179,C841)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SUMIFS(RAB!$F$14:$F$179,RAB!$C$14:$C$179,C842)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SUMIFS(RAB!$F$14:$F$179,RAB!$C$14:$C$179,C843)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SUMIFS(RAB!$F$14:$F$179,RAB!$C$14:$C$179,C844)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SUMIFS(RAB!$F$14:$F$179,RAB!$C$14:$C$179,C845)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SUMIFS(RAB!$F$14:$F$179,RAB!$C$14:$C$179,C846)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SUMIFS(RAB!$F$14:$F$179,RAB!$C$14:$C$179,C847)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SUMIFS(RAB!$F$14:$F$179,RAB!$C$14:$C$179,C848)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SUMIFS(RAB!$F$14:$F$179,RAB!$C$14:$C$179,C849)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SUMIFS(RAB!$F$14:$F$179,RAB!$C$14:$C$179,C850)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SUMIFS(RAB!$F$14:$F$179,RAB!$C$14:$C$179,C851)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SUMIFS(RAB!$F$14:$F$179,RAB!$C$14:$C$179,C852)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SUMIFS(RAB!$F$14:$F$179,RAB!$C$14:$C$179,C853)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SUMIFS(RAB!$F$14:$F$179,RAB!$C$14:$C$179,C854)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SUMIFS(RAB!$F$14:$F$179,RAB!$C$14:$C$179,C855)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SUMIFS(RAB!$F$14:$F$179,RAB!$C$14:$C$179,C856)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SUMIFS(RAB!$F$14:$F$179,RAB!$C$14:$C$179,C857)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SUMIFS(RAB!$F$14:$F$179,RAB!$C$14:$C$179,C858)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SUMIFS(RAB!$F$14:$F$179,RAB!$C$14:$C$179,C859)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SUMIFS(RAB!$F$14:$F$179,RAB!$C$14:$C$179,C860)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SUMIFS(RAB!$F$14:$F$179,RAB!$C$14:$C$179,C861)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SUMIFS(RAB!$F$14:$F$179,RAB!$C$14:$C$179,C862)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SUMIFS(RAB!$F$14:$F$179,RAB!$C$14:$C$179,C863)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SUMIFS(RAB!$F$14:$F$179,RAB!$C$14:$C$179,C864)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SUMIFS(RAB!$F$14:$F$179,RAB!$C$14:$C$179,C865)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SUMIFS(RAB!$F$14:$F$179,RAB!$C$14:$C$179,C866)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SUMIFS(RAB!$F$14:$F$179,RAB!$C$14:$C$179,C867)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SUMIFS(RAB!$F$14:$F$179,RAB!$C$14:$C$179,C868)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SUMIFS(RAB!$F$14:$F$179,RAB!$C$14:$C$179,C869)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SUMIFS(RAB!$F$14:$F$179,RAB!$C$14:$C$179,C870)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SUMIFS(RAB!$F$14:$F$179,RAB!$C$14:$C$179,C871)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SUMIFS(RAB!$F$14:$F$179,RAB!$C$14:$C$179,C872)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SUMIFS(RAB!$F$14:$F$179,RAB!$C$14:$C$179,C873)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SUMIFS(RAB!$F$14:$F$179,RAB!$C$14:$C$179,C874)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SUMIFS(RAB!$F$14:$F$179,RAB!$C$14:$C$179,C875)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SUMIFS(RAB!$F$14:$F$179,RAB!$C$14:$C$179,C876)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SUMIFS(RAB!$F$14:$F$179,RAB!$C$14:$C$179,C877)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SUMIFS(RAB!$F$14:$F$179,RAB!$C$14:$C$179,C878)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SUMIFS(RAB!$F$14:$F$179,RAB!$C$14:$C$179,C879)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SUMIFS(RAB!$F$14:$F$179,RAB!$C$14:$C$179,C880)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SUMIFS(RAB!$F$14:$F$179,RAB!$C$14:$C$179,C881)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SUMIFS(RAB!$F$14:$F$179,RAB!$C$14:$C$179,C882)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SUMIFS(RAB!$F$14:$F$179,RAB!$C$14:$C$179,C883)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SUMIFS(RAB!$F$14:$F$179,RAB!$C$14:$C$179,C884)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SUMIFS(RAB!$F$14:$F$179,RAB!$C$14:$C$179,C885)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SUMIFS(RAB!$F$14:$F$179,RAB!$C$14:$C$179,C886)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SUMIFS(RAB!$F$14:$F$179,RAB!$C$14:$C$179,C887)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SUMIFS(RAB!$F$14:$F$179,RAB!$C$14:$C$179,C888)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SUMIFS(RAB!$F$14:$F$179,RAB!$C$14:$C$179,C889)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SUMIFS(RAB!$F$14:$F$179,RAB!$C$14:$C$179,C890)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SUMIFS(RAB!$F$14:$F$179,RAB!$C$14:$C$179,C891)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SUMIFS(RAB!$F$14:$F$179,RAB!$C$14:$C$179,C892)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SUMIFS(RAB!$F$14:$F$179,RAB!$C$14:$C$179,C893)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SUMIFS(RAB!$F$14:$F$179,RAB!$C$14:$C$179,C894)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SUMIFS(RAB!$F$14:$F$179,RAB!$C$14:$C$179,C895)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SUMIFS(RAB!$F$14:$F$179,RAB!$C$14:$C$179,C896)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SUMIFS(RAB!$F$14:$F$179,RAB!$C$14:$C$179,C897)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SUMIFS(RAB!$F$14:$F$179,RAB!$C$14:$C$179,C898)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SUMIFS(RAB!$F$14:$F$179,RAB!$C$14:$C$179,C899)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SUMIFS(RAB!$F$14:$F$179,RAB!$C$14:$C$179,C900)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SUMIFS(RAB!$F$14:$F$179,RAB!$C$14:$C$179,C901)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SUMIFS(RAB!$F$14:$F$179,RAB!$C$14:$C$179,C902)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SUMIFS(RAB!$F$14:$F$179,RAB!$C$14:$C$179,C903)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SUMIFS(RAB!$F$14:$F$179,RAB!$C$14:$C$179,C904)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SUMIFS(RAB!$F$14:$F$179,RAB!$C$14:$C$179,C905)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SUMIFS(RAB!$F$14:$F$179,RAB!$C$14:$C$179,C906)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SUMIFS(RAB!$F$14:$F$179,RAB!$C$14:$C$179,C907)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SUMIFS(RAB!$F$14:$F$179,RAB!$C$14:$C$179,C908)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SUMIFS(RAB!$F$14:$F$179,RAB!$C$14:$C$179,C909)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SUMIFS(RAB!$F$14:$F$179,RAB!$C$14:$C$179,C910)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SUMIFS(RAB!$F$14:$F$179,RAB!$C$14:$C$179,C911)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SUMIFS(RAB!$F$14:$F$179,RAB!$C$14:$C$179,C912)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SUMIFS(RAB!$F$14:$F$179,RAB!$C$14:$C$179,C913)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SUMIFS(RAB!$F$14:$F$179,RAB!$C$14:$C$179,C914)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SUMIFS(RAB!$F$14:$F$179,RAB!$C$14:$C$179,C915)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SUMIFS(RAB!$F$14:$F$179,RAB!$C$14:$C$179,C916)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SUMIFS(RAB!$F$14:$F$179,RAB!$C$14:$C$179,C917)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SUMIFS(RAB!$F$14:$F$179,RAB!$C$14:$C$179,C918)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SUMIFS(RAB!$F$14:$F$179,RAB!$C$14:$C$179,C919)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SUMIFS(RAB!$F$14:$F$179,RAB!$C$14:$C$179,C920)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SUMIFS(RAB!$F$14:$F$179,RAB!$C$14:$C$179,C921)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SUMIFS(RAB!$F$14:$F$179,RAB!$C$14:$C$179,C922)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SUMIFS(RAB!$F$14:$F$179,RAB!$C$14:$C$179,C923)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SUMIFS(RAB!$F$14:$F$179,RAB!$C$14:$C$179,C924)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SUMIFS(RAB!$F$14:$F$179,RAB!$C$14:$C$179,C925)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SUMIFS(RAB!$F$14:$F$179,RAB!$C$14:$C$179,C926)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SUMIFS(RAB!$F$14:$F$179,RAB!$C$14:$C$179,C927)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SUMIFS(RAB!$F$14:$F$179,RAB!$C$14:$C$179,C928)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SUMIFS(RAB!$F$14:$F$179,RAB!$C$14:$C$179,C929)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SUMIFS(RAB!$F$14:$F$179,RAB!$C$14:$C$179,C930)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SUMIFS(RAB!$F$14:$F$179,RAB!$C$14:$C$179,C931)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SUMIFS(RAB!$F$14:$F$179,RAB!$C$14:$C$179,C932)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SUMIFS(RAB!$F$14:$F$179,RAB!$C$14:$C$179,C933)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SUMIFS(RAB!$F$14:$F$179,RAB!$C$14:$C$179,C934)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SUMIFS(RAB!$F$14:$F$179,RAB!$C$14:$C$179,C935)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SUMIFS(RAB!$F$14:$F$179,RAB!$C$14:$C$179,C936)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SUMIFS(RAB!$F$14:$F$179,RAB!$C$14:$C$179,C937)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SUMIFS(RAB!$F$14:$F$179,RAB!$C$14:$C$179,C938)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SUMIFS(RAB!$F$14:$F$179,RAB!$C$14:$C$179,C939)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SUMIFS(RAB!$F$14:$F$179,RAB!$C$14:$C$179,C940)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SUMIFS(RAB!$F$14:$F$179,RAB!$C$14:$C$179,C941)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SUMIFS(RAB!$F$14:$F$179,RAB!$C$14:$C$179,C942)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SUMIFS(RAB!$F$14:$F$179,RAB!$C$14:$C$179,C943)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SUMIFS(RAB!$F$14:$F$179,RAB!$C$14:$C$179,C944)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SUMIFS(RAB!$F$14:$F$179,RAB!$C$14:$C$179,C945)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SUMIFS(RAB!$F$14:$F$179,RAB!$C$14:$C$179,C946)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SUMIFS(RAB!$F$14:$F$179,RAB!$C$14:$C$179,C947)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SUMIFS(RAB!$F$14:$F$179,RAB!$C$14:$C$179,C948)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SUMIFS(RAB!$F$14:$F$179,RAB!$C$14:$C$179,C949)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SUMIFS(RAB!$F$14:$F$179,RAB!$C$14:$C$179,C950)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SUMIFS(RAB!$F$14:$F$179,RAB!$C$14:$C$179,C951)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SUMIFS(RAB!$F$14:$F$179,RAB!$C$14:$C$179,C952)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SUMIFS(RAB!$F$14:$F$179,RAB!$C$14:$C$179,C953)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SUMIFS(RAB!$F$14:$F$179,RAB!$C$14:$C$179,C954)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SUMIFS(RAB!$F$14:$F$179,RAB!$C$14:$C$179,C955)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SUMIFS(RAB!$F$14:$F$179,RAB!$C$14:$C$179,C956)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SUMIFS(RAB!$F$14:$F$179,RAB!$C$14:$C$179,C957)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SUMIFS(RAB!$F$14:$F$179,RAB!$C$14:$C$179,C958)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SUMIFS(RAB!$F$14:$F$179,RAB!$C$14:$C$179,C959)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SUMIFS(RAB!$F$14:$F$179,RAB!$C$14:$C$179,C960)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SUMIFS(RAB!$F$14:$F$179,RAB!$C$14:$C$179,C961)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SUMIFS(RAB!$F$14:$F$179,RAB!$C$14:$C$179,C962)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SUMIFS(RAB!$F$14:$F$179,RAB!$C$14:$C$179,C963)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SUMIFS(RAB!$F$14:$F$179,RAB!$C$14:$C$179,C964)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SUMIFS(RAB!$F$14:$F$179,RAB!$C$14:$C$179,C965)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SUMIFS(RAB!$F$14:$F$179,RAB!$C$14:$C$179,C966)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SUMIFS(RAB!$F$14:$F$179,RAB!$C$14:$C$179,C967)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SUMIFS(RAB!$F$14:$F$179,RAB!$C$14:$C$179,C968)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SUMIFS(RAB!$F$14:$F$179,RAB!$C$14:$C$179,C969)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SUMIFS(RAB!$F$14:$F$179,RAB!$C$14:$C$179,C970)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SUMIFS(RAB!$F$14:$F$179,RAB!$C$14:$C$179,C971)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SUMIFS(RAB!$F$14:$F$179,RAB!$C$14:$C$179,C972)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SUMIFS(RAB!$F$14:$F$179,RAB!$C$14:$C$179,C973)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SUMIFS(RAB!$F$14:$F$179,RAB!$C$14:$C$179,C974)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SUMIFS(RAB!$F$14:$F$179,RAB!$C$14:$C$179,C975)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SUMIFS(RAB!$F$14:$F$179,RAB!$C$14:$C$179,C976)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SUMIFS(RAB!$F$14:$F$179,RAB!$C$14:$C$179,C977)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SUMIFS(RAB!$F$14:$F$179,RAB!$C$14:$C$179,C978)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SUMIFS(RAB!$F$14:$F$179,RAB!$C$14:$C$179,C979)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SUMIFS(RAB!$F$14:$F$179,RAB!$C$14:$C$179,C980)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SUMIFS(RAB!$F$14:$F$179,RAB!$C$14:$C$179,C981)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SUMIFS(RAB!$F$14:$F$179,RAB!$C$14:$C$179,C982)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SUMIFS(RAB!$F$14:$F$179,RAB!$C$14:$C$179,C983)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SUMIFS(RAB!$F$14:$F$179,RAB!$C$14:$C$179,C984)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SUMIFS(RAB!$F$14:$F$179,RAB!$C$14:$C$179,C985)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SUMIFS(RAB!$F$14:$F$179,RAB!$C$14:$C$179,C986)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SUMIFS(RAB!$F$14:$F$179,RAB!$C$14:$C$179,C987)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SUMIFS(RAB!$F$14:$F$179,RAB!$C$14:$C$179,C988)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SUMIFS(RAB!$F$14:$F$179,RAB!$C$14:$C$179,C989)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SUMIFS(RAB!$F$14:$F$179,RAB!$C$14:$C$179,C990)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SUMIFS(RAB!$F$14:$F$179,RAB!$C$14:$C$179,C991)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SUMIFS(RAB!$F$14:$F$179,RAB!$C$14:$C$179,C992)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SUMIFS(RAB!$F$14:$F$179,RAB!$C$14:$C$179,C993)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SUMIFS(RAB!$F$14:$F$179,RAB!$C$14:$C$179,C994)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SUMIFS(RAB!$F$14:$F$179,RAB!$C$14:$C$179,C995)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SUMIFS(RAB!$F$14:$F$179,RAB!$C$14:$C$179,C996)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SUMIFS(RAB!$F$14:$F$179,RAB!$C$14:$C$179,C997)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SUMIFS(RAB!$F$14:$F$179,RAB!$C$14:$C$179,C998)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SUMIFS(RAB!$F$14:$F$179,RAB!$C$14:$C$179,C999)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SUMIFS(RAB!$F$14:$F$179,RAB!$C$14:$C$179,C1000)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SUMIFS(RAB!$F$14:$F$179,RAB!$C$14:$C$179,C1001)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SUMIFS(RAB!$F$14:$F$179,RAB!$C$14:$C$179,C1002)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SUMIFS(RAB!$F$14:$F$179,RAB!$C$14:$C$179,C1003)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SUMIFS(RAB!$F$14:$F$179,RAB!$C$14:$C$179,C1004)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SUMIFS(RAB!$F$14:$F$179,RAB!$C$14:$C$179,C1005)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SUMIFS(RAB!$F$14:$F$179,RAB!$C$14:$C$179,C1006)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SUMIFS(RAB!$F$14:$F$179,RAB!$C$14:$C$179,C1007)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SUMIFS(RAB!$F$14:$F$179,RAB!$C$14:$C$179,C1008)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SUMIFS(RAB!$F$14:$F$179,RAB!$C$14:$C$179,C1009)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SUMIFS(RAB!$F$14:$F$179,RAB!$C$14:$C$179,C1010)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SUMIFS(RAB!$F$14:$F$179,RAB!$C$14:$C$179,C1011)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SUMIFS(RAB!$F$14:$F$179,RAB!$C$14:$C$179,C1012)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SUMIFS(RAB!$F$14:$F$179,RAB!$C$14:$C$179,C1013)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SUMIFS(RAB!$F$14:$F$179,RAB!$C$14:$C$179,C1014)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SUMIFS(RAB!$F$14:$F$179,RAB!$C$14:$C$179,C1015)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SUMIFS(RAB!$F$14:$F$179,RAB!$C$14:$C$179,C1016)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SUMIFS(RAB!$F$14:$F$179,RAB!$C$14:$C$179,C1017)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SUMIFS(RAB!$F$14:$F$179,RAB!$C$14:$C$179,C1018)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SUMIFS(RAB!$F$14:$F$179,RAB!$C$14:$C$179,C1019)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SUMIFS(RAB!$F$14:$F$179,RAB!$C$14:$C$179,C1020)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SUMIFS(RAB!$F$14:$F$179,RAB!$C$14:$C$179,C1021)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SUMIFS(RAB!$F$14:$F$179,RAB!$C$14:$C$179,C1022)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SUMIFS(RAB!$F$14:$F$179,RAB!$C$14:$C$179,C1023)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SUMIFS(RAB!$F$14:$F$179,RAB!$C$14:$C$179,C1024)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SUMIFS(RAB!$F$14:$F$179,RAB!$C$14:$C$179,C1025)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SUMIFS(RAB!$F$14:$F$179,RAB!$C$14:$C$179,C1026)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SUMIFS(RAB!$F$14:$F$179,RAB!$C$14:$C$179,C1027)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SUMIFS(RAB!$F$14:$F$179,RAB!$C$14:$C$179,C1028)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SUMIFS(RAB!$F$14:$F$179,RAB!$C$14:$C$179,C1029)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SUMIFS(RAB!$F$14:$F$179,RAB!$C$14:$C$179,C1030)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SUMIFS(RAB!$F$14:$F$179,RAB!$C$14:$C$179,C1031)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SUMIFS(RAB!$F$14:$F$179,RAB!$C$14:$C$179,C1032)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SUMIFS(RAB!$F$14:$F$179,RAB!$C$14:$C$179,C1033)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SUMIFS(RAB!$F$14:$F$179,RAB!$C$14:$C$179,C1034)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SUMIFS(RAB!$F$14:$F$179,RAB!$C$14:$C$179,C1035)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SUMIFS(RAB!$F$14:$F$179,RAB!$C$14:$C$179,C1036)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SUMIFS(RAB!$F$14:$F$179,RAB!$C$14:$C$179,C1037)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SUMIFS(RAB!$F$14:$F$179,RAB!$C$14:$C$179,C1038)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SUMIFS(RAB!$F$14:$F$179,RAB!$C$14:$C$179,C1039)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SUMIFS(RAB!$F$14:$F$179,RAB!$C$14:$C$179,C1040)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SUMIFS(RAB!$F$14:$F$179,RAB!$C$14:$C$179,C1041)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SUMIFS(RAB!$F$14:$F$179,RAB!$C$14:$C$179,C1042)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SUMIFS(RAB!$F$14:$F$179,RAB!$C$14:$C$179,C1043)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SUMIFS(RAB!$F$14:$F$179,RAB!$C$14:$C$179,C1044)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SUMIFS(RAB!$F$14:$F$179,RAB!$C$14:$C$179,C1045)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SUMIFS(RAB!$F$14:$F$179,RAB!$C$14:$C$179,C1046)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SUMIFS(RAB!$F$14:$F$179,RAB!$C$14:$C$179,C1047)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SUMIFS(RAB!$F$14:$F$179,RAB!$C$14:$C$179,C1048)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SUMIFS(RAB!$F$14:$F$179,RAB!$C$14:$C$179,C1049)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SUMIFS(RAB!$F$14:$F$179,RAB!$C$14:$C$179,C1050)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SUMIFS(RAB!$F$14:$F$179,RAB!$C$14:$C$179,C1051)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SUMIFS(RAB!$F$14:$F$179,RAB!$C$14:$C$179,C1052)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SUMIFS(RAB!$F$14:$F$179,RAB!$C$14:$C$179,C1053)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SUMIFS(RAB!$F$14:$F$179,RAB!$C$14:$C$179,C1054)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SUMIFS(RAB!$F$14:$F$179,RAB!$C$14:$C$179,C1055)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SUMIFS(RAB!$F$14:$F$179,RAB!$C$14:$C$179,C1056)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SUMIFS(RAB!$F$14:$F$179,RAB!$C$14:$C$179,C1057)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SUMIFS(RAB!$F$14:$F$179,RAB!$C$14:$C$179,C1058)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SUMIFS(RAB!$F$14:$F$179,RAB!$C$14:$C$179,C1059)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SUMIFS(RAB!$F$14:$F$179,RAB!$C$14:$C$179,C1060)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SUMIFS(RAB!$F$14:$F$179,RAB!$C$14:$C$179,C1061)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SUMIFS(RAB!$F$14:$F$179,RAB!$C$14:$C$179,C1062)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SUMIFS(RAB!$F$14:$F$179,RAB!$C$14:$C$179,C1063)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SUMIFS(RAB!$F$14:$F$179,RAB!$C$14:$C$179,C1064)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SUMIFS(RAB!$F$14:$F$179,RAB!$C$14:$C$179,C1065)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SUMIFS(RAB!$F$14:$F$179,RAB!$C$14:$C$179,C1066)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SUMIFS(RAB!$F$14:$F$179,RAB!$C$14:$C$179,C1067)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SUMIFS(RAB!$F$14:$F$179,RAB!$C$14:$C$179,C1068)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SUMIFS(RAB!$F$14:$F$179,RAB!$C$14:$C$179,C1069)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SUMIFS(RAB!$F$14:$F$179,RAB!$C$14:$C$179,C1070)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SUMIFS(RAB!$F$14:$F$179,RAB!$C$14:$C$179,C1071)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SUMIFS(RAB!$F$14:$F$179,RAB!$C$14:$C$179,C1072)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SUMIFS(RAB!$F$14:$F$179,RAB!$C$14:$C$179,C1073)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SUMIFS(RAB!$F$14:$F$179,RAB!$C$14:$C$179,C1074)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SUMIFS(RAB!$F$14:$F$179,RAB!$C$14:$C$179,C1075)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SUMIFS(RAB!$F$14:$F$179,RAB!$C$14:$C$179,C1076)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SUMIFS(RAB!$F$14:$F$179,RAB!$C$14:$C$179,C1077)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SUMIFS(RAB!$F$14:$F$179,RAB!$C$14:$C$179,C1078)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SUMIFS(RAB!$F$14:$F$179,RAB!$C$14:$C$179,C1079)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SUMIFS(RAB!$F$14:$F$179,RAB!$C$14:$C$179,C1080)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SUMIFS(RAB!$F$14:$F$179,RAB!$C$14:$C$179,C1081)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SUMIFS(RAB!$F$14:$F$179,RAB!$C$14:$C$179,C1082)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SUMIFS(RAB!$F$14:$F$179,RAB!$C$14:$C$179,C1083)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SUMIFS(RAB!$F$14:$F$179,RAB!$C$14:$C$179,C1084)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SUMIFS(RAB!$F$14:$F$179,RAB!$C$14:$C$179,C1085)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SUMIFS(RAB!$F$14:$F$179,RAB!$C$14:$C$179,C1086)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SUMIFS(RAB!$F$14:$F$179,RAB!$C$14:$C$179,C1087)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SUMIFS(RAB!$F$14:$F$179,RAB!$C$14:$C$179,C1088)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SUMIFS(RAB!$F$14:$F$179,RAB!$C$14:$C$179,C1089)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SUMIFS(RAB!$F$14:$F$179,RAB!$C$14:$C$179,C1090)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SUMIFS(RAB!$F$14:$F$179,RAB!$C$14:$C$179,C1091)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SUMIFS(RAB!$F$14:$F$179,RAB!$C$14:$C$179,C1092)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SUMIFS(RAB!$F$14:$F$179,RAB!$C$14:$C$179,C1093)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SUMIFS(RAB!$F$14:$F$179,RAB!$C$14:$C$179,C1094)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SUMIFS(RAB!$F$14:$F$179,RAB!$C$14:$C$179,C1095)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SUMIFS(RAB!$F$14:$F$179,RAB!$C$14:$C$179,C1096)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SUMIFS(RAB!$F$14:$F$179,RAB!$C$14:$C$179,C1097)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SUMIFS(RAB!$F$14:$F$179,RAB!$C$14:$C$179,C1098)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SUMIFS(RAB!$F$14:$F$179,RAB!$C$14:$C$179,C1099)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SUMIFS(RAB!$F$14:$F$179,RAB!$C$14:$C$179,C1100)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SUMIFS(RAB!$F$14:$F$179,RAB!$C$14:$C$179,C1101)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SUMIFS(RAB!$F$14:$F$179,RAB!$C$14:$C$179,C1102)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SUMIFS(RAB!$F$14:$F$179,RAB!$C$14:$C$179,C1103)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SUMIFS(RAB!$F$14:$F$179,RAB!$C$14:$C$179,C1104)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SUMIFS(RAB!$F$14:$F$179,RAB!$C$14:$C$179,C1105)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SUMIFS(RAB!$F$14:$F$179,RAB!$C$14:$C$179,C1106)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SUMIFS(RAB!$F$14:$F$179,RAB!$C$14:$C$179,C1107)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SUMIFS(RAB!$F$14:$F$179,RAB!$C$14:$C$179,C1108)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SUMIFS(RAB!$F$14:$F$179,RAB!$C$14:$C$179,C1109)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SUMIFS(RAB!$F$14:$F$179,RAB!$C$14:$C$179,C1110)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SUMIFS(RAB!$F$14:$F$179,RAB!$C$14:$C$179,C1111)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SUMIFS(RAB!$F$14:$F$179,RAB!$C$14:$C$179,C1112)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SUMIFS(RAB!$F$14:$F$179,RAB!$C$14:$C$179,C1113)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SUMIFS(RAB!$F$14:$F$179,RAB!$C$14:$C$179,C1114)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SUMIFS(RAB!$F$14:$F$179,RAB!$C$14:$C$179,C1115)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SUMIFS(RAB!$F$14:$F$179,RAB!$C$14:$C$179,C1116)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SUMIFS(RAB!$F$14:$F$179,RAB!$C$14:$C$179,C1117)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SUMIFS(RAB!$F$14:$F$179,RAB!$C$14:$C$179,C1118)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SUMIFS(RAB!$F$14:$F$179,RAB!$C$14:$C$179,C1119)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SUMIFS(RAB!$F$14:$F$179,RAB!$C$14:$C$179,C1120)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SUMIFS(RAB!$F$14:$F$179,RAB!$C$14:$C$179,C1121)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SUMIFS(RAB!$F$14:$F$179,RAB!$C$14:$C$179,C1122)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SUMIFS(RAB!$F$14:$F$179,RAB!$C$14:$C$179,C1123)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SUMIFS(RAB!$F$14:$F$179,RAB!$C$14:$C$179,C1124)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SUMIFS(RAB!$F$14:$F$179,RAB!$C$14:$C$179,C1125)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SUMIFS(RAB!$F$14:$F$179,RAB!$C$14:$C$179,C1126)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SUMIFS(RAB!$F$14:$F$179,RAB!$C$14:$C$179,C1127)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SUMIFS(RAB!$F$14:$F$179,RAB!$C$14:$C$179,C1128)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SUMIFS(RAB!$F$14:$F$179,RAB!$C$14:$C$179,C1129)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SUMIFS(RAB!$F$14:$F$179,RAB!$C$14:$C$179,C1130)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SUMIFS(RAB!$F$14:$F$179,RAB!$C$14:$C$179,C1131)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SUMIFS(RAB!$F$14:$F$179,RAB!$C$14:$C$179,C1132)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SUMIFS(RAB!$F$14:$F$179,RAB!$C$14:$C$179,C1133)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SUMIFS(RAB!$F$14:$F$179,RAB!$C$14:$C$179,C1134)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SUMIFS(RAB!$F$14:$F$179,RAB!$C$14:$C$179,C1135)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SUMIFS(RAB!$F$14:$F$179,RAB!$C$14:$C$179,C1136)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SUMIFS(RAB!$F$14:$F$179,RAB!$C$14:$C$179,C1137)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SUMIFS(RAB!$F$14:$F$179,RAB!$C$14:$C$179,C1138)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SUMIFS(RAB!$F$14:$F$179,RAB!$C$14:$C$179,C1139)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SUMIFS(RAB!$F$14:$F$179,RAB!$C$14:$C$179,C1140)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SUMIFS(RAB!$F$14:$F$179,RAB!$C$14:$C$179,C1141)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SUMIFS(RAB!$F$14:$F$179,RAB!$C$14:$C$179,C1142)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SUMIFS(RAB!$F$14:$F$179,RAB!$C$14:$C$179,C1143)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SUMIFS(RAB!$F$14:$F$179,RAB!$C$14:$C$179,C1144)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SUMIFS(RAB!$F$14:$F$179,RAB!$C$14:$C$179,C1145)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SUMIFS(RAB!$F$14:$F$179,RAB!$C$14:$C$179,C1146)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SUMIFS(RAB!$F$14:$F$179,RAB!$C$14:$C$179,C1147)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SUMIFS(RAB!$F$14:$F$179,RAB!$C$14:$C$179,C1148)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SUMIFS(RAB!$F$14:$F$179,RAB!$C$14:$C$179,C1149)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SUMIFS(RAB!$F$14:$F$179,RAB!$C$14:$C$179,C1150)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SUMIFS(RAB!$F$14:$F$179,RAB!$C$14:$C$179,C1151)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SUMIFS(RAB!$F$14:$F$179,RAB!$C$14:$C$179,C1152)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SUMIFS(RAB!$F$14:$F$179,RAB!$C$14:$C$179,C1153)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SUMIFS(RAB!$F$14:$F$179,RAB!$C$14:$C$179,C1154)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SUMIFS(RAB!$F$14:$F$179,RAB!$C$14:$C$179,C1155)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SUMIFS(RAB!$F$14:$F$179,RAB!$C$14:$C$179,C1156)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SUMIFS(RAB!$F$14:$F$179,RAB!$C$14:$C$179,C1157)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SUMIFS(RAB!$F$14:$F$179,RAB!$C$14:$C$179,C1158)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SUMIFS(RAB!$F$14:$F$179,RAB!$C$14:$C$179,C1159)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SUMIFS(RAB!$F$14:$F$179,RAB!$C$14:$C$179,C1160)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SUMIFS(RAB!$F$14:$F$179,RAB!$C$14:$C$179,C1161)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SUMIFS(RAB!$F$14:$F$179,RAB!$C$14:$C$179,C1162)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SUMIFS(RAB!$F$14:$F$179,RAB!$C$14:$C$179,C1163)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SUMIFS(RAB!$F$14:$F$179,RAB!$C$14:$C$179,C1164)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SUMIFS(RAB!$F$14:$F$179,RAB!$C$14:$C$179,C1165)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SUMIFS(RAB!$F$14:$F$179,RAB!$C$14:$C$179,C1166)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SUMIFS(RAB!$F$14:$F$179,RAB!$C$14:$C$179,C1167)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SUMIFS(RAB!$F$14:$F$179,RAB!$C$14:$C$179,C1168)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SUMIFS(RAB!$F$14:$F$179,RAB!$C$14:$C$179,C1169)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SUMIFS(RAB!$F$14:$F$179,RAB!$C$14:$C$179,C1170)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SUMIFS(RAB!$F$14:$F$179,RAB!$C$14:$C$179,C1171)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SUMIFS(RAB!$F$14:$F$179,RAB!$C$14:$C$179,C1172)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SUMIFS(RAB!$F$14:$F$179,RAB!$C$14:$C$179,C1173)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SUMIFS(RAB!$F$14:$F$179,RAB!$C$14:$C$179,C1174)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SUMIFS(RAB!$F$14:$F$179,RAB!$C$14:$C$179,C1175)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SUMIFS(RAB!$F$14:$F$179,RAB!$C$14:$C$179,C1176)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SUMIFS(RAB!$F$14:$F$179,RAB!$C$14:$C$179,C1177)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SUMIFS(RAB!$F$14:$F$179,RAB!$C$14:$C$179,C1178)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SUMIFS(RAB!$F$14:$F$179,RAB!$C$14:$C$179,C1179)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SUMIFS(RAB!$F$14:$F$179,RAB!$C$14:$C$179,C1180)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SUMIFS(RAB!$F$14:$F$179,RAB!$C$14:$C$179,C1181)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SUMIFS(RAB!$F$14:$F$179,RAB!$C$14:$C$179,C1182)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SUMIFS(RAB!$F$14:$F$179,RAB!$C$14:$C$179,C1183)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SUMIFS(RAB!$F$14:$F$179,RAB!$C$14:$C$179,C1184)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SUMIFS(RAB!$F$14:$F$179,RAB!$C$14:$C$179,C1185)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SUMIFS(RAB!$F$14:$F$179,RAB!$C$14:$C$179,C1186)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SUMIFS(RAB!$F$14:$F$179,RAB!$C$14:$C$179,C1187)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SUMIFS(RAB!$F$14:$F$179,RAB!$C$14:$C$179,C1188)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SUMIFS(RAB!$F$14:$F$179,RAB!$C$14:$C$179,C1189)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SUMIFS(RAB!$F$14:$F$179,RAB!$C$14:$C$179,C1190)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SUMIFS(RAB!$F$14:$F$179,RAB!$C$14:$C$179,C1191)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SUMIFS(RAB!$F$14:$F$179,RAB!$C$14:$C$179,C1192)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SUMIFS(RAB!$F$14:$F$179,RAB!$C$14:$C$179,C1193)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SUMIFS(RAB!$F$14:$F$179,RAB!$C$14:$C$179,C1194)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SUMIFS(RAB!$F$14:$F$179,RAB!$C$14:$C$179,C1195)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SUMIFS(RAB!$F$14:$F$179,RAB!$C$14:$C$179,C1196)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SUMIFS(RAB!$F$14:$F$179,RAB!$C$14:$C$179,C1197)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SUMIFS(RAB!$F$14:$F$179,RAB!$C$14:$C$179,C1198)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SUMIFS(RAB!$F$14:$F$179,RAB!$C$14:$C$179,C1199)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SUMIFS(RAB!$F$14:$F$179,RAB!$C$14:$C$179,C1200)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SUMIFS(RAB!$F$14:$F$179,RAB!$C$14:$C$179,C1201)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SUMIFS(RAB!$F$14:$F$179,RAB!$C$14:$C$179,C1202)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SUMIFS(RAB!$F$14:$F$179,RAB!$C$14:$C$179,C1203)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SUMIFS(RAB!$F$14:$F$179,RAB!$C$14:$C$179,C1204)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SUMIFS(RAB!$F$14:$F$179,RAB!$C$14:$C$179,C1205)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SUMIFS(RAB!$F$14:$F$179,RAB!$C$14:$C$179,C1206)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SUMIFS(RAB!$F$14:$F$179,RAB!$C$14:$C$179,C1207)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SUMIFS(RAB!$F$14:$F$179,RAB!$C$14:$C$179,C1208)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SUMIFS(RAB!$F$14:$F$179,RAB!$C$14:$C$179,C1209)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SUMIFS(RAB!$F$14:$F$179,RAB!$C$14:$C$179,C1210)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SUMIFS(RAB!$F$14:$F$179,RAB!$C$14:$C$179,C1211)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SUMIFS(RAB!$F$14:$F$179,RAB!$C$14:$C$179,C1212)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SUMIFS(RAB!$F$14:$F$179,RAB!$C$14:$C$179,C1213)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SUMIFS(RAB!$F$14:$F$179,RAB!$C$14:$C$179,C1214)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SUMIFS(RAB!$F$14:$F$179,RAB!$C$14:$C$179,C1215)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SUMIFS(RAB!$F$14:$F$179,RAB!$C$14:$C$179,C1216)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SUMIFS(RAB!$F$14:$F$179,RAB!$C$14:$C$179,C1217)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SUMIFS(RAB!$F$14:$F$179,RAB!$C$14:$C$179,C1218)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SUMIFS(RAB!$F$14:$F$179,RAB!$C$14:$C$179,C1219)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SUMIFS(RAB!$F$14:$F$179,RAB!$C$14:$C$179,C1220)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SUMIFS(RAB!$F$14:$F$179,RAB!$C$14:$C$179,C1221)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SUMIFS(RAB!$F$14:$F$179,RAB!$C$14:$C$179,C1222)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SUMIFS(RAB!$F$14:$F$179,RAB!$C$14:$C$179,C1223)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SUMIFS(RAB!$F$14:$F$179,RAB!$C$14:$C$179,C1224)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SUMIFS(RAB!$F$14:$F$179,RAB!$C$14:$C$179,C1225)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SUMIFS(RAB!$F$14:$F$179,RAB!$C$14:$C$179,C1226)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SUMIFS(RAB!$F$14:$F$179,RAB!$C$14:$C$179,C1227)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SUMIFS(RAB!$F$14:$F$179,RAB!$C$14:$C$179,C1228)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SUMIFS(RAB!$F$14:$F$179,RAB!$C$14:$C$179,C1229)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SUMIFS(RAB!$F$14:$F$179,RAB!$C$14:$C$179,C1230)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SUMIFS(RAB!$F$14:$F$179,RAB!$C$14:$C$179,C1231)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SUMIFS(RAB!$F$14:$F$179,RAB!$C$14:$C$179,C1232)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SUMIFS(RAB!$F$14:$F$179,RAB!$C$14:$C$179,C1233)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SUMIFS(RAB!$F$14:$F$179,RAB!$C$14:$C$179,C1234)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SUMIFS(RAB!$F$14:$F$179,RAB!$C$14:$C$179,C1235)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SUMIFS(RAB!$F$14:$F$179,RAB!$C$14:$C$179,C1236)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SUMIFS(RAB!$F$14:$F$179,RAB!$C$14:$C$179,C1237)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SUMIFS(RAB!$F$14:$F$179,RAB!$C$14:$C$179,C1238)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SUMIFS(RAB!$F$14:$F$179,RAB!$C$14:$C$179,C1239)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SUMIFS(RAB!$F$14:$F$179,RAB!$C$14:$C$179,C1240)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SUMIFS(RAB!$F$14:$F$179,RAB!$C$14:$C$179,C1241)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SUMIFS(RAB!$F$14:$F$179,RAB!$C$14:$C$179,C1242)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SUMIFS(RAB!$F$14:$F$179,RAB!$C$14:$C$179,C1243)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SUMIFS(RAB!$F$14:$F$179,RAB!$C$14:$C$179,C1244)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SUMIFS(RAB!$F$14:$F$179,RAB!$C$14:$C$179,C1245)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SUMIFS(RAB!$F$14:$F$179,RAB!$C$14:$C$179,C1246)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SUMIFS(RAB!$F$14:$F$179,RAB!$C$14:$C$179,C1247)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SUMIFS(RAB!$F$14:$F$179,RAB!$C$14:$C$179,C1248)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SUMIFS(RAB!$F$14:$F$179,RAB!$C$14:$C$179,C1249)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SUMIFS(RAB!$F$14:$F$179,RAB!$C$14:$C$179,C1250)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SUMIFS(RAB!$F$14:$F$179,RAB!$C$14:$C$179,C1251)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SUMIFS(RAB!$F$14:$F$179,RAB!$C$14:$C$179,C1252)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SUMIFS(RAB!$F$14:$F$179,RAB!$C$14:$C$179,C1253)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SUMIFS(RAB!$F$14:$F$179,RAB!$C$14:$C$179,C1254)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SUMIFS(RAB!$F$14:$F$179,RAB!$C$14:$C$179,C1255)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SUMIFS(RAB!$F$14:$F$179,RAB!$C$14:$C$179,C1256)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SUMIFS(RAB!$F$14:$F$179,RAB!$C$14:$C$179,C1257)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SUMIFS(RAB!$F$14:$F$179,RAB!$C$14:$C$179,C1258)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SUMIFS(RAB!$F$14:$F$179,RAB!$C$14:$C$179,C1259)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SUMIFS(RAB!$F$14:$F$179,RAB!$C$14:$C$179,C1260)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SUMIFS(RAB!$F$14:$F$179,RAB!$C$14:$C$179,C1261)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SUMIFS(RAB!$F$14:$F$179,RAB!$C$14:$C$179,C1262)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SUMIFS(RAB!$F$14:$F$179,RAB!$C$14:$C$179,C1263)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SUMIFS(RAB!$F$14:$F$179,RAB!$C$14:$C$179,C1264)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SUMIFS(RAB!$F$14:$F$179,RAB!$C$14:$C$179,C1265)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SUMIFS(RAB!$F$14:$F$179,RAB!$C$14:$C$179,C1266)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SUMIFS(RAB!$F$14:$F$179,RAB!$C$14:$C$179,C1267)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SUMIFS(RAB!$F$14:$F$179,RAB!$C$14:$C$179,C1268)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SUMIFS(RAB!$F$14:$F$179,RAB!$C$14:$C$179,C1269)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SUMIFS(RAB!$F$14:$F$179,RAB!$C$14:$C$179,C1270)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SUMIFS(RAB!$F$14:$F$179,RAB!$C$14:$C$179,C1271)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SUMIFS(RAB!$F$14:$F$179,RAB!$C$14:$C$179,C1272)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SUMIFS(RAB!$F$14:$F$179,RAB!$C$14:$C$179,C1273)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SUMIFS(RAB!$F$14:$F$179,RAB!$C$14:$C$179,C1274)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SUMIFS(RAB!$F$14:$F$179,RAB!$C$14:$C$179,C1275)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SUMIFS(RAB!$F$14:$F$179,RAB!$C$14:$C$179,C1276)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SUMIFS(RAB!$F$14:$F$179,RAB!$C$14:$C$179,C1277)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SUMIFS(RAB!$F$14:$F$179,RAB!$C$14:$C$179,C1278)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SUMIFS(RAB!$F$14:$F$179,RAB!$C$14:$C$179,C1279)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SUMIFS(RAB!$F$14:$F$179,RAB!$C$14:$C$179,C1280)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SUMIFS(RAB!$F$14:$F$179,RAB!$C$14:$C$179,C1281)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SUMIFS(RAB!$F$14:$F$179,RAB!$C$14:$C$179,C1282)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SUMIFS(RAB!$F$14:$F$179,RAB!$C$14:$C$179,C1283)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SUMIFS(RAB!$F$14:$F$179,RAB!$C$14:$C$179,C1284)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SUMIFS(RAB!$F$14:$F$179,RAB!$C$14:$C$179,C1285)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SUMIFS(RAB!$F$14:$F$179,RAB!$C$14:$C$179,C1286)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SUMIFS(RAB!$F$14:$F$179,RAB!$C$14:$C$179,C1287)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SUMIFS(RAB!$F$14:$F$179,RAB!$C$14:$C$179,C1288)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SUMIFS(RAB!$F$14:$F$179,RAB!$C$14:$C$179,C1289)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SUMIFS(RAB!$F$14:$F$179,RAB!$C$14:$C$179,C1290)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SUMIFS(RAB!$F$14:$F$179,RAB!$C$14:$C$179,C1291)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SUMIFS(RAB!$F$14:$F$179,RAB!$C$14:$C$179,C1292)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SUMIFS(RAB!$F$14:$F$179,RAB!$C$14:$C$179,C1293)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SUMIFS(RAB!$F$14:$F$179,RAB!$C$14:$C$179,C1294)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SUMIFS(RAB!$F$14:$F$179,RAB!$C$14:$C$179,C1295)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SUMIFS(RAB!$F$14:$F$179,RAB!$C$14:$C$179,C1296)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SUMIFS(RAB!$F$14:$F$179,RAB!$C$14:$C$179,C1297)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SUMIFS(RAB!$F$14:$F$179,RAB!$C$14:$C$179,C1298)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SUMIFS(RAB!$F$14:$F$179,RAB!$C$14:$C$179,C1299)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SUMIFS(RAB!$F$14:$F$179,RAB!$C$14:$C$179,C1300)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SUMIFS(RAB!$F$14:$F$179,RAB!$C$14:$C$179,C1301)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SUMIFS(RAB!$F$14:$F$179,RAB!$C$14:$C$179,C1302)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SUMIFS(RAB!$F$14:$F$179,RAB!$C$14:$C$179,C1303)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SUMIFS(RAB!$F$14:$F$179,RAB!$C$14:$C$179,C1304)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SUMIFS(RAB!$F$14:$F$179,RAB!$C$14:$C$179,C1305)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SUMIFS(RAB!$F$14:$F$179,RAB!$C$14:$C$179,C1306)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SUMIFS(RAB!$F$14:$F$179,RAB!$C$14:$C$179,C1307)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SUMIFS(RAB!$F$14:$F$179,RAB!$C$14:$C$179,C1308)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SUMIFS(RAB!$F$14:$F$179,RAB!$C$14:$C$179,C1309)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SUMIFS(RAB!$F$14:$F$179,RAB!$C$14:$C$179,C1310)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SUMIFS(RAB!$F$14:$F$179,RAB!$C$14:$C$179,C1311)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SUMIFS(RAB!$F$14:$F$179,RAB!$C$14:$C$179,C1312)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SUMIFS(RAB!$F$14:$F$179,RAB!$C$14:$C$179,C1313)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SUMIFS(RAB!$F$14:$F$179,RAB!$C$14:$C$179,C1314)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SUMIFS(RAB!$F$14:$F$179,RAB!$C$14:$C$179,C1315)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SUMIFS(RAB!$F$14:$F$179,RAB!$C$14:$C$179,C1316)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SUMIFS(RAB!$F$14:$F$179,RAB!$C$14:$C$179,C1317)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SUMIFS(RAB!$F$14:$F$179,RAB!$C$14:$C$179,C1318)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SUMIFS(RAB!$F$14:$F$179,RAB!$C$14:$C$179,C1319)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SUMIFS(RAB!$F$14:$F$179,RAB!$C$14:$C$179,C1320)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0" t="str">
        <f>RAB!G6</f>
        <v>PERUMAHAN CEMARA SAE RESIDENCE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GODONG - GROBOGAN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5</v>
      </c>
      <c r="G17" s="41">
        <f ca="1">IF(ISERROR(OFFSET('HARGA SATUAN'!$I$6,MATCH(C17,'HARGA SATUAN'!$C$7:$C$1495,0),0)),"",OFFSET('HARGA SATUAN'!$I$6,MATCH(C17,'HARGA SATUAN'!$C$7:$C$1495,0),0))</f>
        <v>5800000</v>
      </c>
      <c r="H17" s="42">
        <f t="shared" ca="1" si="1"/>
        <v>0</v>
      </c>
      <c r="I17" s="42">
        <f t="shared" ca="1" si="2"/>
        <v>29000000</v>
      </c>
      <c r="J17" s="42">
        <f t="shared" ca="1" si="3"/>
        <v>0</v>
      </c>
      <c r="K17" s="43">
        <f t="shared" ca="1" si="0"/>
        <v>29000000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Btg</v>
      </c>
      <c r="F18" s="101">
        <f t="shared" ca="1" si="5"/>
        <v>1</v>
      </c>
      <c r="G18" s="41">
        <f ca="1">IF(ISERROR(OFFSET('HARGA SATUAN'!$I$6,MATCH(C18,'HARGA SATUAN'!$C$7:$C$1495,0),0)),"",OFFSET('HARGA SATUAN'!$I$6,MATCH(C18,'HARGA SATUAN'!$C$7:$C$1495,0),0))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1" t="s">
        <v>1008</v>
      </c>
      <c r="D38" s="531"/>
      <c r="E38" s="531"/>
      <c r="F38" s="531"/>
      <c r="G38" s="77" t="s">
        <v>9</v>
      </c>
      <c r="H38" s="55">
        <f ca="1">SUM(H14:H37)</f>
        <v>0</v>
      </c>
      <c r="I38" s="55">
        <f ca="1">SUM(I14:I37)</f>
        <v>45222200</v>
      </c>
      <c r="J38" s="55">
        <f ca="1">SUM(J14:J37)</f>
        <v>0</v>
      </c>
      <c r="K38" s="55">
        <f ca="1">SUM(K14:K37)</f>
        <v>45222200</v>
      </c>
      <c r="L38" s="44"/>
      <c r="R38" s="99"/>
      <c r="S38" s="99"/>
      <c r="T38" s="99"/>
    </row>
    <row r="39" spans="1:20" s="36" customFormat="1">
      <c r="A39" s="30"/>
      <c r="B39" s="56"/>
      <c r="C39" s="532" t="s">
        <v>462</v>
      </c>
      <c r="D39" s="532"/>
      <c r="E39" s="532"/>
      <c r="F39" s="532"/>
      <c r="G39" s="59" t="s">
        <v>9</v>
      </c>
      <c r="H39" s="60">
        <f ca="1">H38*0.1</f>
        <v>0</v>
      </c>
      <c r="I39" s="60">
        <f ca="1">I38*0.1</f>
        <v>4522220</v>
      </c>
      <c r="J39" s="60">
        <f ca="1">J38*0.1</f>
        <v>0</v>
      </c>
      <c r="K39" s="60">
        <f ca="1">K38*0.1</f>
        <v>4522220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1" t="s">
        <v>463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49744420</v>
      </c>
      <c r="J40" s="61">
        <f ca="1">SUM(J38:J39)</f>
        <v>0</v>
      </c>
      <c r="K40" s="61">
        <f ca="1">SUM(K38:K39)</f>
        <v>49744420</v>
      </c>
      <c r="L40" s="44"/>
      <c r="R40" s="99"/>
      <c r="S40" s="99"/>
      <c r="T40" s="99"/>
    </row>
    <row r="41" spans="1:20" s="36" customFormat="1">
      <c r="A41" s="30"/>
      <c r="B41" s="524" t="e">
        <f ca="1"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26"/>
      <c r="L41" s="44"/>
      <c r="R41" s="58"/>
      <c r="S41" s="58"/>
      <c r="T41" s="58"/>
    </row>
    <row r="42" spans="1:20" s="36" customFormat="1">
      <c r="A42" s="30"/>
      <c r="B42" s="527"/>
      <c r="C42" s="528"/>
      <c r="D42" s="528"/>
      <c r="E42" s="528"/>
      <c r="F42" s="528"/>
      <c r="G42" s="528"/>
      <c r="H42" s="528"/>
      <c r="I42" s="528"/>
      <c r="J42" s="528"/>
      <c r="K42" s="52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SUMIFS(RAB!$F$14:$F$179,RAB!$C$14:$C$179,'REKAP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SUMIFS(RAB!$F$14:$F$179,RAB!$C$14:$C$179,'REKAP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SUMIFS(RAB!$F$14:$F$179,RAB!$C$14:$C$179,'REKAP TIANG'!C59)</f>
        <v>5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SUMIFS(RAB!$F$14:$F$179,RAB!$C$14:$C$179,'REKAP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SUMIFS(RAB!$F$14:$F$179,RAB!$C$14:$C$179,'REKAP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SUMIFS(RAB!$F$14:$F$179,RAB!$C$14:$C$179,'REKAP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SUMIFS(RAB!$F$14:$F$179,RAB!$C$14:$C$179,'REKAP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SUMIFS(RAB!$F$14:$F$179,RAB!$C$14:$C$179,'REKAP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SUMIFS(RAB!$F$14:$F$179,RAB!$C$14:$C$179,'REKAP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SUMIFS(RAB!$F$14:$F$179,RAB!$C$14:$C$179,'REKAP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SUMIFS(RAB!$F$14:$F$179,RAB!$C$14:$C$179,'REKAP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SUMIFS(RAB!$F$14:$F$179,RAB!$C$14:$C$179,'REKAP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SUMIFS(RAB!$F$14:$F$179,RAB!$C$14:$C$179,'REKAP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SUMIFS(RAB!$F$14:$F$179,RAB!$C$14:$C$179,'REKAP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SUMIFS(RAB!$F$14:$F$179,RAB!$C$14:$C$179,'REKAP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SUMIFS(RAB!$F$14:$F$179,RAB!$C$14:$C$179,'REKAP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SUMIFS(RAB!$F$14:$F$179,RAB!$C$14:$C$179,'REKAP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SUMIFS(RAB!$F$14:$F$179,RAB!$C$14:$C$179,'REKAP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SUMIFS(RAB!$F$14:$F$179,RAB!$C$14:$C$179,'REKAP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SUMIFS(RAB!$F$14:$F$179,RAB!$C$14:$C$179,'REKAP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0" t="str">
        <f>RAB!G6</f>
        <v>PERUMAHAN CEMARA SAE RESIDENCE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GODONG - GROBOGAN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54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17690400</v>
      </c>
      <c r="I16" s="42">
        <f t="shared" ca="1" si="2"/>
        <v>0</v>
      </c>
      <c r="J16" s="42">
        <f t="shared" ca="1" si="3"/>
        <v>0</v>
      </c>
      <c r="K16" s="43">
        <f t="shared" ca="1" si="0"/>
        <v>17690400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54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2106000</v>
      </c>
      <c r="I17" s="42">
        <f t="shared" ca="1" si="2"/>
        <v>0</v>
      </c>
      <c r="J17" s="42">
        <f t="shared" ca="1" si="3"/>
        <v>0</v>
      </c>
      <c r="K17" s="43">
        <f t="shared" ca="1" si="0"/>
        <v>2106000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6</v>
      </c>
      <c r="G19" s="41">
        <f ca="1">IF(ISERROR(OFFSET('HARGA SATUAN'!$I$6,MATCH(C19,'HARGA SATUAN'!$C$7:$C$1495,0),0)),"",OFFSET('HARGA SATUAN'!$I$6,MATCH(C19,'HARGA SATUAN'!$C$7:$C$1495,0),0))</f>
        <v>176900</v>
      </c>
      <c r="H19" s="42">
        <f t="shared" ca="1" si="1"/>
        <v>1061400</v>
      </c>
      <c r="I19" s="42">
        <f t="shared" ca="1" si="2"/>
        <v>0</v>
      </c>
      <c r="J19" s="42">
        <f t="shared" ca="1" si="3"/>
        <v>0</v>
      </c>
      <c r="K19" s="43">
        <f t="shared" ca="1" si="0"/>
        <v>1061400</v>
      </c>
      <c r="L19" s="46"/>
      <c r="Q19" s="36"/>
      <c r="R19" s="45"/>
      <c r="S19" s="45"/>
      <c r="T19" s="45"/>
    </row>
    <row r="20" spans="1:20" s="47" customFormat="1" ht="30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70-150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Set</v>
      </c>
      <c r="F20" s="101">
        <f t="shared" ca="1" si="6"/>
        <v>4</v>
      </c>
      <c r="G20" s="41">
        <f ca="1">IF(ISERROR(OFFSET('HARGA SATUAN'!$I$6,MATCH(C20,'HARGA SATUAN'!$C$7:$C$1495,0),0)),"",OFFSET('HARGA SATUAN'!$I$6,MATCH(C20,'HARGA SATUAN'!$C$7:$C$1495,0),0))</f>
        <v>205700</v>
      </c>
      <c r="H20" s="42">
        <f t="shared" ca="1" si="1"/>
        <v>822800</v>
      </c>
      <c r="I20" s="42">
        <f t="shared" ca="1" si="2"/>
        <v>0</v>
      </c>
      <c r="J20" s="42">
        <f t="shared" ca="1" si="3"/>
        <v>0</v>
      </c>
      <c r="K20" s="43">
        <f t="shared" ca="1" si="0"/>
        <v>822800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82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1164400</v>
      </c>
      <c r="I21" s="42">
        <f t="shared" ca="1" si="2"/>
        <v>0</v>
      </c>
      <c r="J21" s="42">
        <f t="shared" ca="1" si="3"/>
        <v>0</v>
      </c>
      <c r="K21" s="43">
        <f t="shared" ca="1" si="0"/>
        <v>1164400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542</v>
      </c>
      <c r="G22" s="41">
        <f ca="1">IF(ISERROR(OFFSET('HARGA SATUAN'!$I$6,MATCH(C22,'HARGA SATUAN'!$C$7:$C$1495,0),0)),"",OFFSET('HARGA SATUAN'!$I$6,MATCH(C22,'HARGA SATUAN'!$C$7:$C$1495,0),0))</f>
        <v>53300</v>
      </c>
      <c r="H22" s="42">
        <f t="shared" ca="1" si="1"/>
        <v>28888600</v>
      </c>
      <c r="I22" s="42">
        <f t="shared" ca="1" si="2"/>
        <v>0</v>
      </c>
      <c r="J22" s="42">
        <f t="shared" ca="1" si="3"/>
        <v>0</v>
      </c>
      <c r="K22" s="43">
        <f t="shared" ca="1" si="0"/>
        <v>28888600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1350</v>
      </c>
      <c r="G23" s="41">
        <f ca="1">IF(ISERROR(OFFSET('HARGA SATUAN'!$I$6,MATCH(C23,'HARGA SATUAN'!$C$7:$C$1495,0),0)),"",OFFSET('HARGA SATUAN'!$I$6,MATCH(C23,'HARGA SATUAN'!$C$7:$C$1495,0),0))</f>
        <v>4300</v>
      </c>
      <c r="H23" s="42">
        <f t="shared" ca="1" si="1"/>
        <v>5805000</v>
      </c>
      <c r="I23" s="42">
        <f t="shared" ca="1" si="2"/>
        <v>0</v>
      </c>
      <c r="J23" s="42">
        <f t="shared" ca="1" si="3"/>
        <v>0</v>
      </c>
      <c r="K23" s="43">
        <f t="shared" ca="1" si="0"/>
        <v>5805000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1" t="s">
        <v>1008</v>
      </c>
      <c r="D168" s="531"/>
      <c r="E168" s="531"/>
      <c r="F168" s="531"/>
      <c r="G168" s="77" t="s">
        <v>9</v>
      </c>
      <c r="H168" s="55">
        <f ca="1">SUM(H14:H167)</f>
        <v>85384000</v>
      </c>
      <c r="I168" s="55">
        <f ca="1">SUM(I14:I167)</f>
        <v>0</v>
      </c>
      <c r="J168" s="55">
        <f ca="1">SUM(J14:J167)</f>
        <v>0</v>
      </c>
      <c r="K168" s="55">
        <f ca="1">SUM(K14:K167)</f>
        <v>85384000</v>
      </c>
      <c r="L168" s="44"/>
      <c r="R168" s="99"/>
      <c r="S168" s="99"/>
      <c r="T168" s="99"/>
    </row>
    <row r="169" spans="1:20" s="36" customFormat="1">
      <c r="A169" s="30"/>
      <c r="B169" s="56"/>
      <c r="C169" s="532" t="s">
        <v>462</v>
      </c>
      <c r="D169" s="532"/>
      <c r="E169" s="532"/>
      <c r="F169" s="532"/>
      <c r="G169" s="59" t="s">
        <v>9</v>
      </c>
      <c r="H169" s="60">
        <f ca="1">H168*0.1</f>
        <v>8538400</v>
      </c>
      <c r="I169" s="60">
        <f ca="1">I168*0.1</f>
        <v>0</v>
      </c>
      <c r="J169" s="60">
        <f ca="1">J168*0.1</f>
        <v>0</v>
      </c>
      <c r="K169" s="60">
        <f ca="1">K168*0.1</f>
        <v>8538400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1" t="s">
        <v>463</v>
      </c>
      <c r="D170" s="521"/>
      <c r="E170" s="521"/>
      <c r="F170" s="521"/>
      <c r="G170" s="61" t="s">
        <v>9</v>
      </c>
      <c r="H170" s="78">
        <f ca="1">SUM(H168:H169)</f>
        <v>93922400</v>
      </c>
      <c r="I170" s="78">
        <f ca="1">SUM(I168:I169)</f>
        <v>0</v>
      </c>
      <c r="J170" s="61">
        <f ca="1">SUM(J168:J169)</f>
        <v>0</v>
      </c>
      <c r="K170" s="61">
        <f ca="1">SUM(K168:K169)</f>
        <v>93922400</v>
      </c>
      <c r="L170" s="44"/>
      <c r="R170" s="99"/>
      <c r="S170" s="99"/>
      <c r="T170" s="99"/>
    </row>
    <row r="171" spans="1:20" s="36" customFormat="1">
      <c r="A171" s="30"/>
      <c r="B171" s="524" t="e">
        <f ca="1"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26"/>
      <c r="L171" s="44"/>
      <c r="R171" s="58"/>
      <c r="S171" s="58"/>
      <c r="T171" s="58"/>
    </row>
    <row r="172" spans="1:20" s="36" customFormat="1">
      <c r="A172" s="30"/>
      <c r="B172" s="527"/>
      <c r="C172" s="528"/>
      <c r="D172" s="528"/>
      <c r="E172" s="528"/>
      <c r="F172" s="528"/>
      <c r="G172" s="528"/>
      <c r="H172" s="528"/>
      <c r="I172" s="528"/>
      <c r="J172" s="528"/>
      <c r="K172" s="52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SUMIFS(RAB!$F$14:$F$179,RAB!$C$14:$C$179,C224)</f>
        <v>54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SUMIFS(RAB!$F$14:$F$179,RAB!$C$14:$C$179,C225)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SUMIFS(RAB!$F$14:$F$179,RAB!$C$14:$C$179,C226)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SUMIFS(RAB!$F$14:$F$179,RAB!$C$14:$C$179,C227)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SUMIFS(RAB!$F$14:$F$179,RAB!$C$14:$C$179,C228)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SUMIFS(RAB!$F$14:$F$179,RAB!$C$14:$C$179,C229)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SUMIFS(RAB!$F$14:$F$179,RAB!$C$14:$C$179,C230)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SUMIFS(RAB!$F$14:$F$179,RAB!$C$14:$C$179,C231)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SUMIFS(RAB!$F$14:$F$179,RAB!$C$14:$C$179,C232)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SUMIFS(RAB!$F$14:$F$179,RAB!$C$14:$C$179,C233)</f>
        <v>54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SUMIFS(RAB!$F$14:$F$179,RAB!$C$14:$C$179,C234)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SUMIFS(RAB!$F$14:$F$179,RAB!$C$14:$C$179,C235)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SUMIFS(RAB!$F$14:$F$179,RAB!$C$14:$C$179,C236)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SUMIFS(RAB!$F$14:$F$179,RAB!$C$14:$C$179,C237)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SUMIFS(RAB!$F$14:$F$179,RAB!$C$14:$C$179,C238)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SUMIFS(RAB!$F$14:$F$179,RAB!$C$14:$C$179,C239)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SUMIFS(RAB!$F$14:$F$179,RAB!$C$14:$C$179,C240)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SUMIFS(RAB!$F$14:$F$179,RAB!$C$14:$C$179,C241)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SUMIFS(RAB!$F$14:$F$179,RAB!$C$14:$C$179,C242)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SUMIFS(RAB!$F$14:$F$179,RAB!$C$14:$C$179,C243)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SUMIFS(RAB!$F$14:$F$179,RAB!$C$14:$C$179,C244)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SUMIFS(RAB!$F$14:$F$179,RAB!$C$14:$C$179,C245)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SUMIFS(RAB!$F$14:$F$179,RAB!$C$14:$C$179,C246)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SUMIFS(RAB!$F$14:$F$179,RAB!$C$14:$C$179,C247)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SUMIFS(RAB!$F$14:$F$179,RAB!$C$14:$C$179,C248)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SUMIFS(RAB!$F$14:$F$179,RAB!$C$14:$C$179,C249)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SUMIFS(RAB!$F$14:$F$179,RAB!$C$14:$C$179,C250)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SUMIFS(RAB!$F$14:$F$179,RAB!$C$14:$C$179,C251)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SUMIFS(RAB!$F$14:$F$179,RAB!$C$14:$C$179,C252)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SUMIFS(RAB!$F$14:$F$179,RAB!$C$14:$C$179,C253)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SUMIFS(RAB!$F$14:$F$179,RAB!$C$14:$C$179,C254)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SUMIFS(RAB!$F$14:$F$179,RAB!$C$14:$C$179,C255)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SUMIFS(RAB!$F$14:$F$179,RAB!$C$14:$C$179,C256)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SUMIFS(RAB!$F$14:$F$179,RAB!$C$14:$C$179,C257)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SUMIFS(RAB!$F$14:$F$179,RAB!$C$14:$C$179,C258)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SUMIFS(RAB!$F$14:$F$179,RAB!$C$14:$C$179,C259)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SUMIFS(RAB!$F$14:$F$179,RAB!$C$14:$C$179,C260)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SUMIFS(RAB!$F$14:$F$179,RAB!$C$14:$C$179,C261)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SUMIFS(RAB!$F$14:$F$179,RAB!$C$14:$C$179,C262)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SUMIFS(RAB!$F$14:$F$179,RAB!$C$14:$C$179,C263)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SUMIFS(RAB!$F$14:$F$179,RAB!$C$14:$C$179,C264)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SUMIFS(RAB!$F$14:$F$179,RAB!$C$14:$C$179,C265)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SUMIFS(RAB!$F$14:$F$179,RAB!$C$14:$C$179,C266)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SUMIFS(RAB!$F$14:$F$179,RAB!$C$14:$C$179,C267)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SUMIFS(RAB!$F$14:$F$179,RAB!$C$14:$C$179,C268)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SUMIFS(RAB!$F$14:$F$179,RAB!$C$14:$C$179,C269)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SUMIFS(RAB!$F$14:$F$179,RAB!$C$14:$C$179,C270)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SUMIFS(RAB!$F$14:$F$179,RAB!$C$14:$C$179,C271)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SUMIFS(RAB!$F$14:$F$179,RAB!$C$14:$C$179,C272)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SUMIFS(RAB!$F$14:$F$179,RAB!$C$14:$C$179,C273)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SUMIFS(RAB!$F$14:$F$179,RAB!$C$14:$C$179,C274)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SUMIFS(RAB!$F$14:$F$179,RAB!$C$14:$C$179,C275)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SUMIFS(RAB!$F$14:$F$179,RAB!$C$14:$C$179,C276)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SUMIFS(RAB!$F$14:$F$179,RAB!$C$14:$C$179,C277)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SUMIFS(RAB!$F$14:$F$179,RAB!$C$14:$C$179,C278)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SUMIFS(RAB!$F$14:$F$179,RAB!$C$14:$C$179,C279)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SUMIFS(RAB!$F$14:$F$179,RAB!$C$14:$C$179,C280)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SUMIFS(RAB!$F$14:$F$179,RAB!$C$14:$C$179,C281)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SUMIFS(RAB!$F$14:$F$179,RAB!$C$14:$C$179,C282)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SUMIFS(RAB!$F$14:$F$179,RAB!$C$14:$C$179,C283)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SUMIFS(RAB!$F$14:$F$179,RAB!$C$14:$C$179,C284)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SUMIFS(RAB!$F$14:$F$179,RAB!$C$14:$C$179,C285)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SUMIFS(RAB!$F$14:$F$179,RAB!$C$14:$C$179,C286)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SUMIFS(RAB!$F$14:$F$179,RAB!$C$14:$C$179,C287)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SUMIFS(RAB!$F$14:$F$179,RAB!$C$14:$C$179,C288)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SUMIFS(RAB!$F$14:$F$179,RAB!$C$14:$C$179,C289)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SUMIFS(RAB!$F$14:$F$179,RAB!$C$14:$C$179,C290)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SUMIFS(RAB!$F$14:$F$179,RAB!$C$14:$C$179,C291)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SUMIFS(RAB!$F$14:$F$179,RAB!$C$14:$C$179,C292)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SUMIFS(RAB!$F$14:$F$179,RAB!$C$14:$C$179,C293)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SUMIFS(RAB!$F$14:$F$179,RAB!$C$14:$C$179,C294)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SUMIFS(RAB!$F$14:$F$179,RAB!$C$14:$C$179,C295)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SUMIFS(RAB!$F$14:$F$179,RAB!$C$14:$C$179,C296)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SUMIFS(RAB!$F$14:$F$179,RAB!$C$14:$C$179,C297)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SUMIFS(RAB!$F$14:$F$179,RAB!$C$14:$C$179,C298)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SUMIFS(RAB!$F$14:$F$179,RAB!$C$14:$C$179,C299)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SUMIFS(RAB!$F$14:$F$179,RAB!$C$14:$C$179,C300)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SUMIFS(RAB!$F$14:$F$179,RAB!$C$14:$C$179,C301)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SUMIFS(RAB!$F$14:$F$179,RAB!$C$14:$C$179,C302)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SUMIFS(RAB!$F$14:$F$179,RAB!$C$14:$C$179,C303)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SUMIFS(RAB!$F$14:$F$179,RAB!$C$14:$C$179,C304)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SUMIFS(RAB!$F$14:$F$179,RAB!$C$14:$C$179,C305)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SUMIFS(RAB!$F$14:$F$179,RAB!$C$14:$C$179,C306)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SUMIFS(RAB!$F$14:$F$179,RAB!$C$14:$C$179,C307)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SUMIFS(RAB!$F$14:$F$179,RAB!$C$14:$C$179,C308)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SUMIFS(RAB!$F$14:$F$179,RAB!$C$14:$C$179,C309)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SUMIFS(RAB!$F$14:$F$179,RAB!$C$14:$C$179,C310)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SUMIFS(RAB!$F$14:$F$179,RAB!$C$14:$C$179,C311)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SUMIFS(RAB!$F$14:$F$179,RAB!$C$14:$C$179,C312)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SUMIFS(RAB!$F$14:$F$179,RAB!$C$14:$C$179,C313)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SUMIFS(RAB!$F$14:$F$179,RAB!$C$14:$C$179,C314)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SUMIFS(RAB!$F$14:$F$179,RAB!$C$14:$C$179,C315)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SUMIFS(RAB!$F$14:$F$179,RAB!$C$14:$C$179,C316)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SUMIFS(RAB!$F$14:$F$179,RAB!$C$14:$C$179,C317)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SUMIFS(RAB!$F$14:$F$179,RAB!$C$14:$C$179,C318)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SUMIFS(RAB!$F$14:$F$179,RAB!$C$14:$C$179,C319)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SUMIFS(RAB!$F$14:$F$179,RAB!$C$14:$C$179,C320)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SUMIFS(RAB!$F$14:$F$179,RAB!$C$14:$C$179,C321)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SUMIFS(RAB!$F$14:$F$179,RAB!$C$14:$C$179,C322)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SUMIFS(RAB!$F$14:$F$179,RAB!$C$14:$C$179,C323)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SUMIFS(RAB!$F$14:$F$179,RAB!$C$14:$C$179,C324)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SUMIFS(RAB!$F$14:$F$179,RAB!$C$14:$C$179,C325)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SUMIFS(RAB!$F$14:$F$179,RAB!$C$14:$C$179,C326)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SUMIFS(RAB!$F$14:$F$179,RAB!$C$14:$C$179,C327)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SUMIFS(RAB!$F$14:$F$179,RAB!$C$14:$C$179,C328)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SUMIFS(RAB!$F$14:$F$179,RAB!$C$14:$C$179,C329)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SUMIFS(RAB!$F$14:$F$179,RAB!$C$14:$C$179,C330)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SUMIFS(RAB!$F$14:$F$179,RAB!$C$14:$C$179,C331)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SUMIFS(RAB!$F$14:$F$179,RAB!$C$14:$C$179,C332)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SUMIFS(RAB!$F$14:$F$179,RAB!$C$14:$C$179,C333)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SUMIFS(RAB!$F$14:$F$179,RAB!$C$14:$C$179,C334)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SUMIFS(RAB!$F$14:$F$179,RAB!$C$14:$C$179,C335)</f>
        <v>6</v>
      </c>
      <c r="E335" s="24">
        <f t="shared" ca="1" si="22"/>
        <v>1</v>
      </c>
      <c r="F335" s="24">
        <f ca="1">IF(D335=0,0,SUM($E$223:E335))</f>
        <v>4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SUMIFS(RAB!$F$14:$F$179,RAB!$C$14:$C$179,C336)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SUMIFS(RAB!$F$14:$F$179,RAB!$C$14:$C$179,C337)</f>
        <v>4</v>
      </c>
      <c r="E337" s="24">
        <f t="shared" ca="1" si="22"/>
        <v>1</v>
      </c>
      <c r="F337" s="24">
        <f ca="1">IF(D337=0,0,SUM($E$223:E337))</f>
        <v>5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SUMIFS(RAB!$F$14:$F$179,RAB!$C$14:$C$179,C338)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SUMIFS(RAB!$F$14:$F$179,RAB!$C$14:$C$179,C339)</f>
        <v>82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SUMIFS(RAB!$F$14:$F$179,RAB!$C$14:$C$179,C340)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SUMIFS(RAB!$F$14:$F$179,RAB!$C$14:$C$179,C341)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SUMIFS(RAB!$F$14:$F$179,RAB!$C$14:$C$179,C342)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SUMIFS(RAB!$F$14:$F$179,RAB!$C$14:$C$179,C343)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SUMIFS(RAB!$F$14:$F$179,RAB!$C$14:$C$179,C344)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SUMIFS(RAB!$F$14:$F$179,RAB!$C$14:$C$179,C345)</f>
        <v>542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SUMIFS(RAB!$F$14:$F$179,RAB!$C$14:$C$179,C346)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SUMIFS(RAB!$F$14:$F$179,RAB!$C$14:$C$179,C347)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SUMIFS(RAB!$F$14:$F$179,RAB!$C$14:$C$179,C348)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SUMIFS(RAB!$F$14:$F$179,RAB!$C$14:$C$179,C349)</f>
        <v>1350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SUMIFS(RAB!$F$14:$F$179,RAB!$C$14:$C$179,C350)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SUMIFS(RAB!$F$14:$F$179,RAB!$C$14:$C$179,C351)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SUMIFS(RAB!$F$14:$F$179,RAB!$C$14:$C$179,C352)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SUMIFS(RAB!$F$14:$F$179,RAB!$C$14:$C$179,C353)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SUMIFS(RAB!$F$14:$F$179,RAB!$C$14:$C$179,C354)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SUMIFS(RAB!$F$14:$F$179,RAB!$C$14:$C$179,C355)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SUMIFS(RAB!$F$14:$F$179,RAB!$C$14:$C$179,C356)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SUMIFS(RAB!$F$14:$F$179,RAB!$C$14:$C$179,C357)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SUMIFS(RAB!$F$14:$F$179,RAB!$C$14:$C$179,C358)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SUMIFS(RAB!$F$14:$F$179,RAB!$C$14:$C$179,C359)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SUMIFS(RAB!$F$14:$F$179,RAB!$C$14:$C$179,C360)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SUMIFS(RAB!$F$14:$F$179,RAB!$C$14:$C$179,C361)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SUMIFS(RAB!$F$14:$F$179,RAB!$C$14:$C$179,C362)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SUMIFS(RAB!$F$14:$F$179,RAB!$C$14:$C$179,C363)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SUMIFS(RAB!$F$14:$F$179,RAB!$C$14:$C$179,C364)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SUMIFS(RAB!$F$14:$F$179,RAB!$C$14:$C$179,C365)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SUMIFS(RAB!$F$14:$F$179,RAB!$C$14:$C$179,C366)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SUMIFS(RAB!$F$14:$F$179,RAB!$C$14:$C$179,C367)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SUMIFS(RAB!$F$14:$F$179,RAB!$C$14:$C$179,C368)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SUMIFS(RAB!$F$14:$F$179,RAB!$C$14:$C$179,C369)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SUMIFS(RAB!$F$14:$F$179,RAB!$C$14:$C$179,C370)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SUMIFS(RAB!$F$14:$F$179,RAB!$C$14:$C$179,C371)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SUMIFS(RAB!$F$14:$F$179,RAB!$C$14:$C$179,C372)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SUMIFS(RAB!$F$14:$F$179,RAB!$C$14:$C$179,C373)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86"/>
    </row>
    <row r="4" spans="4:4" ht="57" customHeight="1">
      <c r="D4" s="386">
        <v>3</v>
      </c>
    </row>
    <row r="5" spans="4:4" ht="57" customHeight="1">
      <c r="D5" s="38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29" sqref="C22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41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23</v>
      </c>
      <c r="C4" s="551" t="s">
        <v>1012</v>
      </c>
      <c r="D4" s="551" t="s">
        <v>42</v>
      </c>
      <c r="E4" s="550" t="s">
        <v>43</v>
      </c>
      <c r="F4" s="108" t="s">
        <v>1599</v>
      </c>
      <c r="G4" s="108" t="s">
        <v>1598</v>
      </c>
      <c r="H4" s="54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7" t="s">
        <v>1613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7" t="s">
        <v>1612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501" t="s">
        <v>1631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502" t="s">
        <v>1634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502" t="s">
        <v>1635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09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09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0">
        <v>2740</v>
      </c>
      <c r="G1436" s="410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1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1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1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1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1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8" priority="4" operator="equal">
      <formula>0</formula>
    </cfRule>
  </conditionalFormatting>
  <conditionalFormatting sqref="B217 D217:G217">
    <cfRule type="cellIs" dxfId="27" priority="11" operator="equal">
      <formula>0</formula>
    </cfRule>
  </conditionalFormatting>
  <conditionalFormatting sqref="B8:C135">
    <cfRule type="cellIs" dxfId="26" priority="66" operator="equal">
      <formula>0</formula>
    </cfRule>
  </conditionalFormatting>
  <conditionalFormatting sqref="B216:G216">
    <cfRule type="cellIs" dxfId="25" priority="16" operator="equal">
      <formula>0</formula>
    </cfRule>
  </conditionalFormatting>
  <conditionalFormatting sqref="B218:G1496">
    <cfRule type="cellIs" dxfId="24" priority="1" operator="equal">
      <formula>0</formula>
    </cfRule>
  </conditionalFormatting>
  <conditionalFormatting sqref="C143:G149">
    <cfRule type="cellIs" dxfId="23" priority="20" operator="equal">
      <formula>0</formula>
    </cfRule>
  </conditionalFormatting>
  <conditionalFormatting sqref="D9:G142">
    <cfRule type="cellIs" dxfId="22" priority="26" operator="equal">
      <formula>0</formula>
    </cfRule>
  </conditionalFormatting>
  <conditionalFormatting sqref="D1:IV5 A1:C7 D6:K6 H1458:IV1460 H1461:XFD1488 H1489:H1496 I1489:XFD1497 A1497:H1497 A1498:XFD65539">
    <cfRule type="cellIs" dxfId="21" priority="178" operator="equal">
      <formula>0</formula>
    </cfRule>
  </conditionalFormatting>
  <conditionalFormatting sqref="D7:IV8 C136:C142 B136:B149 B150:G213 B214:B215 D214:G215">
    <cfRule type="cellIs" dxfId="20" priority="77" operator="equal">
      <formula>0</formula>
    </cfRule>
  </conditionalFormatting>
  <conditionalFormatting sqref="H9:H1421">
    <cfRule type="cellIs" dxfId="19" priority="3" operator="equal">
      <formula>0</formula>
    </cfRule>
  </conditionalFormatting>
  <conditionalFormatting sqref="H1422:I1457">
    <cfRule type="cellIs" dxfId="18" priority="143" operator="equal">
      <formula>0</formula>
    </cfRule>
  </conditionalFormatting>
  <conditionalFormatting sqref="I108:I1421">
    <cfRule type="cellIs" dxfId="17" priority="2" operator="equal">
      <formula>0</formula>
    </cfRule>
  </conditionalFormatting>
  <conditionalFormatting sqref="I9:IV107">
    <cfRule type="cellIs" dxfId="16" priority="153" operator="equal">
      <formula>0</formula>
    </cfRule>
  </conditionalFormatting>
  <conditionalFormatting sqref="J108:IV1457">
    <cfRule type="cellIs" dxfId="15" priority="5" operator="equal">
      <formula>0</formula>
    </cfRule>
  </conditionalFormatting>
  <conditionalFormatting sqref="M6:IV6">
    <cfRule type="cellIs" dxfId="1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56" t="s">
        <v>1453</v>
      </c>
      <c r="C2" s="556"/>
      <c r="D2" s="556"/>
      <c r="E2" s="556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1" t="s">
        <v>1528</v>
      </c>
      <c r="C4" s="562"/>
      <c r="D4" s="562"/>
      <c r="E4" s="563"/>
      <c r="F4" s="368"/>
      <c r="G4" s="368"/>
      <c r="H4" s="369"/>
      <c r="I4" s="588" t="s">
        <v>1529</v>
      </c>
      <c r="J4" s="589"/>
      <c r="K4" s="589"/>
      <c r="L4" s="590"/>
    </row>
    <row r="5" spans="1:12" ht="34.5" customHeight="1">
      <c r="A5" s="193"/>
      <c r="B5" s="371" t="s">
        <v>1378</v>
      </c>
      <c r="C5" s="224" t="s">
        <v>9</v>
      </c>
      <c r="D5" s="557" t="str">
        <f>DATA!D14</f>
        <v>PERUMAHAN CEMARA SAE RESIDENCE</v>
      </c>
      <c r="E5" s="558"/>
      <c r="F5" s="197"/>
      <c r="G5" s="197"/>
      <c r="I5" s="372" t="s">
        <v>1378</v>
      </c>
      <c r="J5" s="224" t="s">
        <v>9</v>
      </c>
      <c r="K5" s="591" t="str">
        <f>D5</f>
        <v>PERUMAHAN CEMARA SAE RESIDENCE</v>
      </c>
      <c r="L5" s="592"/>
    </row>
    <row r="6" spans="1:12" ht="31.5" customHeight="1">
      <c r="A6" s="193"/>
      <c r="B6" s="371" t="s">
        <v>1525</v>
      </c>
      <c r="C6" s="224" t="s">
        <v>9</v>
      </c>
      <c r="D6" s="566">
        <f>DATA!D17*1000</f>
        <v>0</v>
      </c>
      <c r="E6" s="567"/>
      <c r="F6" s="197"/>
      <c r="G6" s="197"/>
      <c r="I6" s="372" t="s">
        <v>1526</v>
      </c>
      <c r="J6" s="224" t="s">
        <v>9</v>
      </c>
      <c r="K6" s="593">
        <f>DATA!D20*1000</f>
        <v>70200</v>
      </c>
      <c r="L6" s="594"/>
    </row>
    <row r="7" spans="1:12" ht="30.75" customHeight="1">
      <c r="A7" s="193"/>
      <c r="B7" s="371" t="s">
        <v>1440</v>
      </c>
      <c r="C7" s="224" t="s">
        <v>9</v>
      </c>
      <c r="D7" s="564">
        <f>DATA!D18</f>
        <v>1</v>
      </c>
      <c r="E7" s="565"/>
      <c r="F7" s="370" t="s">
        <v>1452</v>
      </c>
      <c r="I7" s="372" t="s">
        <v>1440</v>
      </c>
      <c r="J7" s="224" t="s">
        <v>9</v>
      </c>
      <c r="K7" s="595">
        <f>DATA!D21</f>
        <v>3</v>
      </c>
      <c r="L7" s="596"/>
    </row>
    <row r="8" spans="1:12" ht="51" customHeight="1">
      <c r="A8" s="193"/>
      <c r="B8" s="371" t="s">
        <v>1441</v>
      </c>
      <c r="C8" s="224" t="s">
        <v>9</v>
      </c>
      <c r="D8" s="564">
        <f>DATA!D19</f>
        <v>220</v>
      </c>
      <c r="E8" s="565"/>
      <c r="F8" s="370" t="s">
        <v>1452</v>
      </c>
      <c r="G8" s="365">
        <v>220</v>
      </c>
      <c r="I8" s="372" t="s">
        <v>1441</v>
      </c>
      <c r="J8" s="224" t="s">
        <v>9</v>
      </c>
      <c r="K8" s="595">
        <f>DATA!D22</f>
        <v>380</v>
      </c>
      <c r="L8" s="596"/>
    </row>
    <row r="9" spans="1:12" ht="30" customHeight="1" thickBot="1">
      <c r="A9" s="193"/>
      <c r="B9" s="377" t="s">
        <v>1537</v>
      </c>
      <c r="C9" s="367" t="s">
        <v>9</v>
      </c>
      <c r="D9" s="559">
        <f>IF(D7=1,D6/(380/3^0.5),(D6/(380*3^0.5)))</f>
        <v>0</v>
      </c>
      <c r="E9" s="560"/>
      <c r="F9" s="196"/>
      <c r="G9" s="366">
        <v>380</v>
      </c>
      <c r="I9" s="378" t="s">
        <v>1537</v>
      </c>
      <c r="J9" s="367" t="s">
        <v>9</v>
      </c>
      <c r="K9" s="597">
        <f>IF(K7=1,K6/(380/3^0.5),(K6/(380*3^0.5)))</f>
        <v>106.65786551871508</v>
      </c>
      <c r="L9" s="598"/>
    </row>
    <row r="10" spans="1:12" ht="24.75" customHeight="1">
      <c r="B10" s="379"/>
      <c r="C10" s="376"/>
      <c r="D10" s="380"/>
      <c r="E10" s="380"/>
      <c r="F10" s="196"/>
      <c r="G10" s="366"/>
      <c r="I10" s="379"/>
      <c r="J10" s="376"/>
      <c r="K10" s="380"/>
      <c r="L10" s="380"/>
    </row>
    <row r="11" spans="1:12" ht="16.5" thickBot="1">
      <c r="B11" s="373" t="s">
        <v>1538</v>
      </c>
      <c r="I11" s="373" t="s">
        <v>1532</v>
      </c>
    </row>
    <row r="12" spans="1:12" ht="34.5" customHeight="1">
      <c r="A12" s="193"/>
      <c r="B12" s="401" t="s">
        <v>1530</v>
      </c>
      <c r="C12" s="395" t="s">
        <v>9</v>
      </c>
      <c r="D12" s="568"/>
      <c r="E12" s="569"/>
      <c r="F12" s="197"/>
      <c r="G12" s="197"/>
      <c r="I12" s="394" t="s">
        <v>1530</v>
      </c>
      <c r="J12" s="395" t="s">
        <v>9</v>
      </c>
      <c r="K12" s="568" t="s">
        <v>1602</v>
      </c>
      <c r="L12" s="569"/>
    </row>
    <row r="13" spans="1:12" ht="31.5" customHeight="1">
      <c r="A13" s="193"/>
      <c r="B13" s="402" t="s">
        <v>1379</v>
      </c>
      <c r="C13" s="382" t="s">
        <v>9</v>
      </c>
      <c r="D13" s="572"/>
      <c r="E13" s="573"/>
      <c r="F13" s="197"/>
      <c r="G13" s="197"/>
      <c r="I13" s="396" t="s">
        <v>1379</v>
      </c>
      <c r="J13" s="382" t="s">
        <v>9</v>
      </c>
      <c r="K13" s="572" t="s">
        <v>1603</v>
      </c>
      <c r="L13" s="573"/>
    </row>
    <row r="14" spans="1:12" ht="30.75" customHeight="1">
      <c r="A14" s="193"/>
      <c r="B14" s="402" t="s">
        <v>1531</v>
      </c>
      <c r="C14" s="382" t="s">
        <v>9</v>
      </c>
      <c r="D14" s="580"/>
      <c r="E14" s="581"/>
      <c r="F14" s="370" t="s">
        <v>1452</v>
      </c>
      <c r="G14" s="374">
        <v>50</v>
      </c>
      <c r="I14" s="396" t="s">
        <v>1531</v>
      </c>
      <c r="J14" s="382" t="s">
        <v>9</v>
      </c>
      <c r="K14" s="582">
        <v>160</v>
      </c>
      <c r="L14" s="583"/>
    </row>
    <row r="15" spans="1:12" ht="57" customHeight="1">
      <c r="A15" s="193"/>
      <c r="B15" s="402" t="s">
        <v>1440</v>
      </c>
      <c r="C15" s="382" t="s">
        <v>9</v>
      </c>
      <c r="D15" s="388"/>
      <c r="E15" s="397"/>
      <c r="F15" s="370" t="s">
        <v>1452</v>
      </c>
      <c r="G15" s="374">
        <v>100</v>
      </c>
      <c r="I15" s="396" t="s">
        <v>1440</v>
      </c>
      <c r="J15" s="382" t="s">
        <v>9</v>
      </c>
      <c r="K15" s="388">
        <v>3</v>
      </c>
      <c r="L15" s="397"/>
    </row>
    <row r="16" spans="1:12" ht="44.25" customHeight="1">
      <c r="A16" s="193"/>
      <c r="B16" s="402" t="s">
        <v>1541</v>
      </c>
      <c r="C16" s="382"/>
      <c r="D16" s="584">
        <v>0</v>
      </c>
      <c r="E16" s="585"/>
      <c r="F16" s="370"/>
      <c r="G16" s="374">
        <v>160</v>
      </c>
      <c r="I16" s="396" t="s">
        <v>1533</v>
      </c>
      <c r="J16" s="382" t="s">
        <v>9</v>
      </c>
      <c r="K16" s="586">
        <f>K9</f>
        <v>106.65786551871508</v>
      </c>
      <c r="L16" s="587"/>
    </row>
    <row r="17" spans="1:12" ht="34.5" customHeight="1">
      <c r="A17" s="193"/>
      <c r="B17" s="402" t="s">
        <v>1534</v>
      </c>
      <c r="C17" s="382" t="s">
        <v>9</v>
      </c>
      <c r="D17" s="574">
        <f>IF(D15=1,D14/(20/3^0.5),(D14/(20*3^0.5)))</f>
        <v>0</v>
      </c>
      <c r="E17" s="575"/>
      <c r="F17" s="370" t="s">
        <v>1452</v>
      </c>
      <c r="G17" s="375">
        <v>200</v>
      </c>
      <c r="I17" s="396" t="s">
        <v>1534</v>
      </c>
      <c r="J17" s="382" t="s">
        <v>9</v>
      </c>
      <c r="K17" s="578">
        <f>IF(K15=1,K14/(20/3^0.5),(K14/(20*3^0.5)))</f>
        <v>4.6188021535170067</v>
      </c>
      <c r="L17" s="579"/>
    </row>
    <row r="18" spans="1:12" ht="34.5" customHeight="1">
      <c r="A18" s="193"/>
      <c r="B18" s="402" t="s">
        <v>1535</v>
      </c>
      <c r="C18" s="382" t="s">
        <v>9</v>
      </c>
      <c r="D18" s="574">
        <f>IF(D15=1,D14/(380/3^0.5),(D14/(380*3^0.5)))*1000</f>
        <v>0</v>
      </c>
      <c r="E18" s="575"/>
      <c r="F18" s="370" t="s">
        <v>1452</v>
      </c>
      <c r="G18" s="375">
        <v>250</v>
      </c>
      <c r="I18" s="396" t="s">
        <v>1535</v>
      </c>
      <c r="J18" s="382" t="s">
        <v>9</v>
      </c>
      <c r="K18" s="578">
        <f>IF(K15=1,K14/(380/3^0.5),(K14/(380*3^0.5)))*1000</f>
        <v>243.0948501851056</v>
      </c>
      <c r="L18" s="579"/>
    </row>
    <row r="19" spans="1:12" ht="30" customHeight="1">
      <c r="A19" s="193"/>
      <c r="B19" s="403" t="s">
        <v>1527</v>
      </c>
      <c r="C19" s="381" t="s">
        <v>9</v>
      </c>
      <c r="D19" s="574">
        <f>IF(D15=1,D14/(380/3^0.5),(D14/(380*3^0.5)))</f>
        <v>0</v>
      </c>
      <c r="E19" s="575"/>
      <c r="F19" s="196"/>
      <c r="G19" s="366"/>
      <c r="I19" s="398" t="s">
        <v>1527</v>
      </c>
      <c r="J19" s="381" t="s">
        <v>9</v>
      </c>
      <c r="K19" s="578">
        <f>IF(K15=1,K14/(380/3^0.5),(K14/(380*3^0.5)))</f>
        <v>0.2430948501851056</v>
      </c>
      <c r="L19" s="579"/>
    </row>
    <row r="20" spans="1:12" ht="30" customHeight="1" thickBot="1">
      <c r="A20" s="193"/>
      <c r="B20" s="404" t="s">
        <v>1536</v>
      </c>
      <c r="C20" s="400" t="s">
        <v>9</v>
      </c>
      <c r="D20" s="570" t="e">
        <f>D16/D18</f>
        <v>#DIV/0!</v>
      </c>
      <c r="E20" s="571"/>
      <c r="F20" s="196"/>
      <c r="G20" s="366"/>
      <c r="I20" s="399" t="s">
        <v>1527</v>
      </c>
      <c r="J20" s="400" t="s">
        <v>9</v>
      </c>
      <c r="K20" s="576">
        <f>K16/K18</f>
        <v>0.43875000000000003</v>
      </c>
      <c r="L20" s="577"/>
    </row>
    <row r="21" spans="1:12" ht="9.75" customHeight="1">
      <c r="A21" s="193"/>
      <c r="B21" s="389" t="s">
        <v>1536</v>
      </c>
      <c r="C21" s="390" t="s">
        <v>9</v>
      </c>
      <c r="D21" s="555">
        <v>1</v>
      </c>
      <c r="E21" s="555"/>
      <c r="F21" s="391"/>
      <c r="G21" s="392"/>
      <c r="H21" s="393"/>
      <c r="I21" s="389" t="s">
        <v>1527</v>
      </c>
      <c r="J21" s="390" t="s">
        <v>9</v>
      </c>
      <c r="K21" s="555">
        <v>1</v>
      </c>
      <c r="L21" s="555"/>
    </row>
    <row r="22" spans="1:12" ht="6.75" customHeight="1">
      <c r="B22" s="379"/>
      <c r="C22" s="376"/>
      <c r="D22" s="387"/>
      <c r="E22" s="387"/>
      <c r="F22" s="196"/>
      <c r="G22" s="366"/>
      <c r="J22" s="376"/>
      <c r="K22" s="387"/>
      <c r="L22" s="387"/>
    </row>
    <row r="23" spans="1:12" ht="15.75" thickBot="1"/>
    <row r="24" spans="1:12" ht="200.25" customHeight="1" thickBot="1">
      <c r="B24" s="552"/>
      <c r="C24" s="553"/>
      <c r="D24" s="553"/>
      <c r="E24" s="554"/>
      <c r="I24" s="552"/>
      <c r="J24" s="553"/>
      <c r="K24" s="553"/>
      <c r="L24" s="554"/>
    </row>
    <row r="26" spans="1:12">
      <c r="D26" s="384"/>
    </row>
    <row r="27" spans="1:12">
      <c r="D27" s="38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6" zoomScale="85" zoomScaleNormal="85" workbookViewId="0">
      <selection activeCell="D14" sqref="D14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7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99"/>
      <c r="C1" s="599"/>
      <c r="D1" s="59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2">
        <v>1084.1250458865841</v>
      </c>
      <c r="F5" s="408" t="s">
        <v>1646</v>
      </c>
      <c r="K5" s="407"/>
    </row>
    <row r="6" spans="2:11" ht="20.100000000000001" customHeight="1">
      <c r="B6" s="238" t="s">
        <v>1350</v>
      </c>
      <c r="C6" s="239" t="s">
        <v>9</v>
      </c>
      <c r="D6" s="242">
        <v>25</v>
      </c>
      <c r="F6" s="408"/>
    </row>
    <row r="7" spans="2:11" ht="20.100000000000001" customHeight="1">
      <c r="B7" s="238" t="s">
        <v>1351</v>
      </c>
      <c r="C7" s="239" t="s">
        <v>9</v>
      </c>
      <c r="D7" s="243">
        <v>2.2499999999999999E-2</v>
      </c>
    </row>
    <row r="8" spans="2:11" ht="20.100000000000001" customHeight="1">
      <c r="B8" s="238" t="s">
        <v>1443</v>
      </c>
      <c r="C8" s="239" t="s">
        <v>9</v>
      </c>
      <c r="D8" s="244">
        <f>D20-D17</f>
        <v>70.2</v>
      </c>
    </row>
    <row r="9" spans="2:11" ht="20.100000000000001" customHeight="1">
      <c r="B9" s="238" t="s">
        <v>1444</v>
      </c>
      <c r="C9" s="239" t="s">
        <v>9</v>
      </c>
      <c r="D9" s="244">
        <f>(D8*D25)*1000</f>
        <v>65772000</v>
      </c>
    </row>
    <row r="10" spans="2:11" ht="20.100000000000001" customHeight="1">
      <c r="B10" s="238" t="s">
        <v>1445</v>
      </c>
      <c r="C10" s="239" t="s">
        <v>9</v>
      </c>
      <c r="D10" s="244">
        <f ca="1">RAB!K184</f>
        <v>171256266.36076</v>
      </c>
    </row>
    <row r="11" spans="2:11" ht="20.100000000000001" customHeight="1">
      <c r="B11" s="238" t="s">
        <v>1355</v>
      </c>
      <c r="C11" s="239" t="s">
        <v>9</v>
      </c>
      <c r="D11" s="244">
        <f ca="1">2%*D10</f>
        <v>3425125.3272152003</v>
      </c>
    </row>
    <row r="12" spans="2:11" ht="9" customHeight="1">
      <c r="B12" s="600"/>
      <c r="C12" s="600"/>
      <c r="D12" s="600"/>
    </row>
    <row r="13" spans="2:11" ht="15.75" customHeight="1">
      <c r="B13" s="245"/>
      <c r="C13" s="245"/>
      <c r="D13" s="245"/>
    </row>
    <row r="14" spans="2:11" ht="48.75" customHeight="1">
      <c r="B14" s="355" t="s">
        <v>1378</v>
      </c>
      <c r="C14" s="356" t="s">
        <v>9</v>
      </c>
      <c r="D14" s="361" t="str">
        <f>RAB!G6</f>
        <v>PERUMAHAN CEMARA SAE RESIDENCE</v>
      </c>
      <c r="E14" s="246" t="s">
        <v>1452</v>
      </c>
    </row>
    <row r="15" spans="2:11" ht="20.100000000000001" customHeight="1">
      <c r="B15" s="357" t="s">
        <v>1446</v>
      </c>
      <c r="C15" s="358" t="s">
        <v>9</v>
      </c>
      <c r="D15" s="362" t="s">
        <v>1611</v>
      </c>
      <c r="E15" s="246" t="s">
        <v>1452</v>
      </c>
    </row>
    <row r="16" spans="2:11" ht="20.100000000000001" customHeight="1">
      <c r="B16" s="357" t="s">
        <v>1447</v>
      </c>
      <c r="C16" s="358" t="s">
        <v>9</v>
      </c>
      <c r="D16" s="362" t="s">
        <v>1450</v>
      </c>
      <c r="E16" s="246" t="s">
        <v>1452</v>
      </c>
    </row>
    <row r="17" spans="2:5" ht="20.100000000000001" customHeight="1">
      <c r="B17" s="357" t="s">
        <v>1448</v>
      </c>
      <c r="C17" s="358" t="s">
        <v>9</v>
      </c>
      <c r="D17" s="363">
        <v>0</v>
      </c>
      <c r="E17" s="246" t="s">
        <v>1452</v>
      </c>
    </row>
    <row r="18" spans="2:5" ht="20.100000000000001" hidden="1" customHeight="1">
      <c r="B18" s="357" t="s">
        <v>1539</v>
      </c>
      <c r="C18" s="358"/>
      <c r="D18" s="363">
        <f>IF((D17&lt;=11),1,3)</f>
        <v>1</v>
      </c>
      <c r="E18" s="246"/>
    </row>
    <row r="19" spans="2:5" ht="20.100000000000001" hidden="1" customHeight="1">
      <c r="B19" s="357" t="s">
        <v>1540</v>
      </c>
      <c r="C19" s="358"/>
      <c r="D19" s="363">
        <f>IF((D17&lt;=11),220,380)</f>
        <v>220</v>
      </c>
      <c r="E19" s="246"/>
    </row>
    <row r="20" spans="2:5" ht="20.100000000000001" customHeight="1">
      <c r="B20" s="357" t="s">
        <v>1449</v>
      </c>
      <c r="C20" s="358" t="s">
        <v>9</v>
      </c>
      <c r="D20" s="362">
        <f>RAB!F171*1.3</f>
        <v>70.2</v>
      </c>
      <c r="E20" s="246" t="s">
        <v>1452</v>
      </c>
    </row>
    <row r="21" spans="2:5" ht="20.100000000000001" hidden="1" customHeight="1">
      <c r="B21" s="357" t="s">
        <v>1539</v>
      </c>
      <c r="C21" s="358"/>
      <c r="D21" s="363">
        <f>IF((D20&lt;=11),1,3)</f>
        <v>3</v>
      </c>
      <c r="E21" s="246"/>
    </row>
    <row r="22" spans="2:5" ht="20.100000000000001" hidden="1" customHeight="1">
      <c r="B22" s="357" t="s">
        <v>1540</v>
      </c>
      <c r="C22" s="358"/>
      <c r="D22" s="363">
        <f>IF((D20&lt;=11),220,380)</f>
        <v>380</v>
      </c>
      <c r="E22" s="246"/>
    </row>
    <row r="23" spans="2:5" ht="20.100000000000001" customHeight="1">
      <c r="B23" s="357" t="s">
        <v>1352</v>
      </c>
      <c r="C23" s="358" t="s">
        <v>9</v>
      </c>
      <c r="D23" s="362">
        <v>1444.7</v>
      </c>
      <c r="E23" s="246" t="s">
        <v>1452</v>
      </c>
    </row>
    <row r="24" spans="2:5" ht="20.100000000000001" customHeight="1">
      <c r="B24" s="357" t="s">
        <v>1353</v>
      </c>
      <c r="C24" s="358" t="s">
        <v>9</v>
      </c>
      <c r="D24" s="362">
        <v>1444.7</v>
      </c>
      <c r="E24" s="246" t="s">
        <v>1452</v>
      </c>
    </row>
    <row r="25" spans="2:5" ht="20.100000000000001" customHeight="1">
      <c r="B25" s="357" t="s">
        <v>1451</v>
      </c>
      <c r="C25" s="358" t="s">
        <v>9</v>
      </c>
      <c r="D25" s="363">
        <f>1218000/1300</f>
        <v>936.92307692307691</v>
      </c>
      <c r="E25" s="246" t="s">
        <v>1452</v>
      </c>
    </row>
    <row r="26" spans="2:5" ht="20.100000000000001" customHeight="1">
      <c r="B26" s="359" t="s">
        <v>1354</v>
      </c>
      <c r="C26" s="360" t="s">
        <v>9</v>
      </c>
      <c r="D26" s="364">
        <v>40</v>
      </c>
      <c r="E26" s="246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5 D20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55" zoomScaleNormal="55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8" customWidth="1"/>
    <col min="2" max="2" width="6.28515625" style="248" customWidth="1"/>
    <col min="3" max="3" width="15.140625" style="248" customWidth="1"/>
    <col min="4" max="4" width="15" style="248" customWidth="1"/>
    <col min="5" max="5" width="15.140625" style="248" bestFit="1" customWidth="1"/>
    <col min="6" max="6" width="12.140625" style="248" bestFit="1" customWidth="1"/>
    <col min="7" max="7" width="10" style="248" bestFit="1" customWidth="1"/>
    <col min="8" max="8" width="15.7109375" style="248" bestFit="1" customWidth="1"/>
    <col min="9" max="9" width="14.140625" style="248" bestFit="1" customWidth="1"/>
    <col min="10" max="10" width="13.85546875" style="248" bestFit="1" customWidth="1"/>
    <col min="11" max="11" width="15.7109375" style="248" customWidth="1"/>
    <col min="12" max="12" width="11.140625" style="248" bestFit="1" customWidth="1"/>
    <col min="13" max="13" width="13.85546875" style="248" bestFit="1" customWidth="1"/>
    <col min="14" max="14" width="12.85546875" style="248" bestFit="1" customWidth="1"/>
    <col min="15" max="15" width="7" style="248" customWidth="1"/>
    <col min="16" max="17" width="12.85546875" style="248" bestFit="1" customWidth="1"/>
    <col min="18" max="18" width="1.28515625" style="248" hidden="1" customWidth="1"/>
    <col min="19" max="19" width="3" style="250" hidden="1" customWidth="1"/>
    <col min="20" max="16384" width="9.140625" style="248"/>
  </cols>
  <sheetData>
    <row r="1" spans="1:21">
      <c r="G1" s="249"/>
    </row>
    <row r="2" spans="1:21">
      <c r="G2" s="249"/>
      <c r="K2" s="249"/>
    </row>
    <row r="3" spans="1:21">
      <c r="B3" s="601" t="s">
        <v>1356</v>
      </c>
      <c r="C3" s="601"/>
      <c r="D3" s="601"/>
      <c r="E3" s="601"/>
      <c r="F3" s="251" t="str">
        <f>DATA!D14</f>
        <v>PERUMAHAN CEMARA SAE RESIDENCE</v>
      </c>
      <c r="G3" s="249"/>
    </row>
    <row r="4" spans="1:21" ht="7.5" customHeight="1">
      <c r="B4" s="252"/>
      <c r="C4" s="252"/>
      <c r="D4" s="252"/>
      <c r="E4" s="252"/>
      <c r="F4" s="251"/>
      <c r="G4" s="249"/>
    </row>
    <row r="5" spans="1:21" ht="20.100000000000001" customHeight="1">
      <c r="B5" s="602" t="s">
        <v>1348</v>
      </c>
      <c r="C5" s="602" t="s">
        <v>1357</v>
      </c>
      <c r="D5" s="603" t="s">
        <v>1358</v>
      </c>
      <c r="E5" s="603" t="s">
        <v>1359</v>
      </c>
      <c r="F5" s="602" t="s">
        <v>1360</v>
      </c>
      <c r="G5" s="602"/>
      <c r="H5" s="602"/>
      <c r="I5" s="602"/>
      <c r="J5" s="602"/>
      <c r="K5" s="602" t="s">
        <v>1361</v>
      </c>
      <c r="L5" s="602"/>
      <c r="M5" s="253"/>
      <c r="N5" s="606" t="s">
        <v>1362</v>
      </c>
      <c r="O5" s="603" t="s">
        <v>1363</v>
      </c>
      <c r="P5" s="603" t="s">
        <v>1364</v>
      </c>
      <c r="Q5" s="603" t="s">
        <v>1365</v>
      </c>
      <c r="R5" s="254"/>
      <c r="S5" s="255"/>
      <c r="T5" s="604" t="s">
        <v>1366</v>
      </c>
      <c r="U5" s="256"/>
    </row>
    <row r="6" spans="1:21" ht="20.100000000000001" customHeight="1">
      <c r="B6" s="602"/>
      <c r="C6" s="602"/>
      <c r="D6" s="602"/>
      <c r="E6" s="602"/>
      <c r="F6" s="257" t="s">
        <v>1367</v>
      </c>
      <c r="G6" s="257" t="s">
        <v>1368</v>
      </c>
      <c r="H6" s="257" t="s">
        <v>1369</v>
      </c>
      <c r="I6" s="257" t="s">
        <v>1370</v>
      </c>
      <c r="J6" s="257" t="s">
        <v>1032</v>
      </c>
      <c r="K6" s="257" t="s">
        <v>1371</v>
      </c>
      <c r="L6" s="257" t="s">
        <v>1372</v>
      </c>
      <c r="M6" s="257" t="s">
        <v>1032</v>
      </c>
      <c r="N6" s="607"/>
      <c r="O6" s="602"/>
      <c r="P6" s="602"/>
      <c r="Q6" s="602"/>
      <c r="R6" s="254"/>
      <c r="S6" s="255"/>
      <c r="T6" s="602"/>
      <c r="U6" s="258"/>
    </row>
    <row r="7" spans="1:21" ht="20.100000000000001" customHeight="1">
      <c r="A7" s="259">
        <v>0</v>
      </c>
      <c r="B7" s="260">
        <v>2023</v>
      </c>
      <c r="C7" s="405">
        <f>DATA!D8*DATA!D26*4</f>
        <v>11232</v>
      </c>
      <c r="D7" s="262">
        <f>C7*4/24</f>
        <v>1872</v>
      </c>
      <c r="E7" s="262">
        <f>C7-D7</f>
        <v>9360</v>
      </c>
      <c r="F7" s="263">
        <f ca="1">DATA!D10/1000000</f>
        <v>171.25626636076001</v>
      </c>
      <c r="G7" s="264">
        <f ca="1">DATA!$D$11/1000000</f>
        <v>3.4251253272152002</v>
      </c>
      <c r="H7" s="264">
        <f>C7*DATA!$D$5/1000000</f>
        <v>12.176892515398112</v>
      </c>
      <c r="I7" s="264">
        <f>(C7*DATA!$D$5*DATA!$D$7)/1000000</f>
        <v>0.27398008159645754</v>
      </c>
      <c r="J7" s="262">
        <f ca="1">SUM(F7:I7)</f>
        <v>187.13226428496978</v>
      </c>
      <c r="K7" s="265">
        <f>DATA!D9/1000000</f>
        <v>65.772000000000006</v>
      </c>
      <c r="L7" s="262">
        <f>((D7*DATA!$D$23)/1000000)+((E7*DATA!$D$24)/1000000)</f>
        <v>16.226870399999999</v>
      </c>
      <c r="M7" s="262">
        <f>K7+L7</f>
        <v>81.998870400000001</v>
      </c>
      <c r="N7" s="262">
        <f ca="1">M7-J7</f>
        <v>-105.13339388496978</v>
      </c>
      <c r="O7" s="260">
        <v>1</v>
      </c>
      <c r="P7" s="262">
        <f ca="1">O7*N7</f>
        <v>-105.13339388496978</v>
      </c>
      <c r="Q7" s="262">
        <f ca="1">P7</f>
        <v>-105.13339388496978</v>
      </c>
      <c r="S7" s="250" t="str">
        <f ca="1">IF(Q7&lt;0,"a","")</f>
        <v>a</v>
      </c>
      <c r="T7" s="266" t="str">
        <f>IF(Q5&gt;=0,"",IF(Q7&lt;0,"",IF(Q7=0,A7,(A7-(Q7/N7)))))</f>
        <v/>
      </c>
      <c r="U7" s="250"/>
    </row>
    <row r="8" spans="1:21" ht="20.100000000000001" customHeight="1">
      <c r="A8" s="259">
        <f>A7+1</f>
        <v>1</v>
      </c>
      <c r="B8" s="260">
        <f>B7+1</f>
        <v>2024</v>
      </c>
      <c r="C8" s="261">
        <f>DATA!D8*DATA!D26*12</f>
        <v>33696</v>
      </c>
      <c r="D8" s="262">
        <f>C8*4/24</f>
        <v>5616</v>
      </c>
      <c r="E8" s="262">
        <f t="shared" ref="E8:E32" si="0">C8-D8</f>
        <v>28080</v>
      </c>
      <c r="F8" s="260"/>
      <c r="G8" s="264">
        <f ca="1">DATA!$D$11/1000000</f>
        <v>3.4251253272152002</v>
      </c>
      <c r="H8" s="264">
        <f>C8*DATA!$D$5/1000000</f>
        <v>36.53067754619434</v>
      </c>
      <c r="I8" s="264">
        <f>(C8*DATA!$D$5*DATA!$D$7)/1000000</f>
        <v>0.82194024478937255</v>
      </c>
      <c r="J8" s="262">
        <f t="shared" ref="J8:J32" ca="1" si="1">SUM(F8:I8)</f>
        <v>40.777743118198913</v>
      </c>
      <c r="K8" s="267"/>
      <c r="L8" s="262">
        <f>((D8*DATA!$D$23)/1000000)+((E8*DATA!$D$24)/1000000)</f>
        <v>48.680611200000001</v>
      </c>
      <c r="M8" s="262">
        <f t="shared" ref="M8:M32" si="2">K8+L8</f>
        <v>48.680611200000001</v>
      </c>
      <c r="N8" s="262">
        <f ca="1">M8-J8</f>
        <v>7.9028680818010884</v>
      </c>
      <c r="O8" s="261">
        <f>1/(1+'[93]Asumsi I'!$C$3)^(KKF!A8)</f>
        <v>0.89285714285714279</v>
      </c>
      <c r="P8" s="262">
        <f ca="1">O8*N8</f>
        <v>7.056132215893828</v>
      </c>
      <c r="Q8" s="262">
        <f ca="1">Q7+P8</f>
        <v>-98.077261669075952</v>
      </c>
      <c r="S8" s="250" t="str">
        <f t="shared" ref="S8:S32" ca="1" si="3">IF(Q8&lt;0,"a","")</f>
        <v>a</v>
      </c>
      <c r="T8" s="266" t="str">
        <f>IF(Q6&gt;=0,"",IF(Q8&lt;0,"",IF(Q8=0,A8,(A8-(Q8/N8)))))</f>
        <v/>
      </c>
      <c r="U8" s="250"/>
    </row>
    <row r="9" spans="1:21" ht="20.100000000000001" customHeight="1">
      <c r="A9" s="259">
        <f t="shared" ref="A9:B24" si="4">A8+1</f>
        <v>2</v>
      </c>
      <c r="B9" s="260">
        <f t="shared" si="4"/>
        <v>2025</v>
      </c>
      <c r="C9" s="268">
        <f>+C8</f>
        <v>33696</v>
      </c>
      <c r="D9" s="262">
        <f t="shared" ref="D9:D32" si="5">C9*4/24</f>
        <v>5616</v>
      </c>
      <c r="E9" s="262">
        <f t="shared" si="0"/>
        <v>28080</v>
      </c>
      <c r="F9" s="260"/>
      <c r="G9" s="264">
        <f ca="1">DATA!$D$11/1000000</f>
        <v>3.4251253272152002</v>
      </c>
      <c r="H9" s="264">
        <f>C9*DATA!$D$5/1000000</f>
        <v>36.53067754619434</v>
      </c>
      <c r="I9" s="264">
        <f>(C9*DATA!$D$5*DATA!$D$7)/1000000</f>
        <v>0.82194024478937255</v>
      </c>
      <c r="J9" s="262">
        <f t="shared" ca="1" si="1"/>
        <v>40.777743118198913</v>
      </c>
      <c r="K9" s="262"/>
      <c r="L9" s="262">
        <f>((D9*DATA!$D$23)/1000000)+((E9*DATA!$D$24)/1000000)</f>
        <v>48.680611200000001</v>
      </c>
      <c r="M9" s="262">
        <f t="shared" si="2"/>
        <v>48.680611200000001</v>
      </c>
      <c r="N9" s="262">
        <f t="shared" ref="N9:N32" ca="1" si="6">M9-J9</f>
        <v>7.9028680818010884</v>
      </c>
      <c r="O9" s="268">
        <f>1/(1+'[93]Asumsi I'!$C$3)^(KKF!A9)</f>
        <v>0.79719387755102034</v>
      </c>
      <c r="P9" s="262">
        <f t="shared" ref="P9:P32" ca="1" si="7">O9*N9</f>
        <v>6.3001180499052039</v>
      </c>
      <c r="Q9" s="262">
        <f ca="1">Q8+P9</f>
        <v>-91.777143619170744</v>
      </c>
      <c r="S9" s="250" t="str">
        <f t="shared" ca="1" si="3"/>
        <v>a</v>
      </c>
      <c r="T9" s="266" t="str">
        <f ca="1">IF(Q7&gt;=0,"",IF(Q9&lt;0,"",IF(Q9=0,A9,(A9-(Q9/N9)))))</f>
        <v/>
      </c>
      <c r="U9" s="250"/>
    </row>
    <row r="10" spans="1:21" ht="20.100000000000001" customHeight="1">
      <c r="A10" s="259">
        <f t="shared" si="4"/>
        <v>3</v>
      </c>
      <c r="B10" s="260">
        <f t="shared" si="4"/>
        <v>2026</v>
      </c>
      <c r="C10" s="261">
        <f t="shared" ref="C10:C32" si="8">+C9</f>
        <v>33696</v>
      </c>
      <c r="D10" s="262">
        <f t="shared" si="5"/>
        <v>5616</v>
      </c>
      <c r="E10" s="262">
        <f t="shared" si="0"/>
        <v>28080</v>
      </c>
      <c r="F10" s="260"/>
      <c r="G10" s="264">
        <f ca="1">DATA!$D$11/1000000</f>
        <v>3.4251253272152002</v>
      </c>
      <c r="H10" s="264">
        <f>C10*DATA!$D$5/1000000</f>
        <v>36.53067754619434</v>
      </c>
      <c r="I10" s="264">
        <f>(C10*DATA!$D$5*DATA!$D$7)/1000000</f>
        <v>0.82194024478937255</v>
      </c>
      <c r="J10" s="262">
        <f t="shared" ca="1" si="1"/>
        <v>40.777743118198913</v>
      </c>
      <c r="K10" s="260"/>
      <c r="L10" s="262">
        <f>((D10*DATA!$D$23)/1000000)+((E10*DATA!$D$24)/1000000)</f>
        <v>48.680611200000001</v>
      </c>
      <c r="M10" s="262">
        <f t="shared" si="2"/>
        <v>48.680611200000001</v>
      </c>
      <c r="N10" s="262">
        <f t="shared" ca="1" si="6"/>
        <v>7.9028680818010884</v>
      </c>
      <c r="O10" s="261">
        <f>1/(1+'[93]Asumsi I'!$C$3)^(KKF!A10)</f>
        <v>0.71178024781341087</v>
      </c>
      <c r="P10" s="262">
        <f t="shared" ca="1" si="7"/>
        <v>5.6251054017010738</v>
      </c>
      <c r="Q10" s="262">
        <f t="shared" ref="Q10:Q30" ca="1" si="9">Q9+P10</f>
        <v>-86.152038217469666</v>
      </c>
      <c r="S10" s="250" t="str">
        <f t="shared" ca="1" si="3"/>
        <v>a</v>
      </c>
      <c r="T10" s="266" t="str">
        <f t="shared" ref="T10:T32" ca="1" si="10">IF(Q8&gt;=0,"",IF(Q10&lt;0,"",IF(Q10=0,A10,(A10-(Q10/N10)))))</f>
        <v/>
      </c>
      <c r="U10" s="250"/>
    </row>
    <row r="11" spans="1:21" ht="20.100000000000001" customHeight="1">
      <c r="A11" s="259">
        <f t="shared" si="4"/>
        <v>4</v>
      </c>
      <c r="B11" s="260">
        <f t="shared" si="4"/>
        <v>2027</v>
      </c>
      <c r="C11" s="261">
        <f>+C10</f>
        <v>33696</v>
      </c>
      <c r="D11" s="262">
        <f t="shared" si="5"/>
        <v>5616</v>
      </c>
      <c r="E11" s="262">
        <f t="shared" si="0"/>
        <v>28080</v>
      </c>
      <c r="F11" s="260"/>
      <c r="G11" s="264">
        <f ca="1">DATA!$D$11/1000000</f>
        <v>3.4251253272152002</v>
      </c>
      <c r="H11" s="264">
        <f>C11*DATA!$D$5/1000000</f>
        <v>36.53067754619434</v>
      </c>
      <c r="I11" s="264">
        <f>(C11*DATA!$D$5*DATA!$D$7)/1000000</f>
        <v>0.82194024478937255</v>
      </c>
      <c r="J11" s="262">
        <f t="shared" ca="1" si="1"/>
        <v>40.777743118198913</v>
      </c>
      <c r="K11" s="260"/>
      <c r="L11" s="262">
        <f>((D11*DATA!$D$23)/1000000)+((E11*DATA!$D$24)/1000000)</f>
        <v>48.680611200000001</v>
      </c>
      <c r="M11" s="262">
        <f t="shared" si="2"/>
        <v>48.680611200000001</v>
      </c>
      <c r="N11" s="262">
        <f t="shared" ca="1" si="6"/>
        <v>7.9028680818010884</v>
      </c>
      <c r="O11" s="261">
        <f>1/(1+'[93]Asumsi I'!$C$3)^(KKF!A11)</f>
        <v>0.63551807840483121</v>
      </c>
      <c r="P11" s="262">
        <f t="shared" ca="1" si="7"/>
        <v>5.0224155372331021</v>
      </c>
      <c r="Q11" s="262">
        <f t="shared" ca="1" si="9"/>
        <v>-81.129622680236565</v>
      </c>
      <c r="S11" s="250" t="str">
        <f t="shared" ca="1" si="3"/>
        <v>a</v>
      </c>
      <c r="T11" s="266" t="str">
        <f t="shared" ca="1" si="10"/>
        <v/>
      </c>
      <c r="U11" s="250"/>
    </row>
    <row r="12" spans="1:21" ht="20.100000000000001" customHeight="1">
      <c r="A12" s="259">
        <f t="shared" si="4"/>
        <v>5</v>
      </c>
      <c r="B12" s="260">
        <f t="shared" si="4"/>
        <v>2028</v>
      </c>
      <c r="C12" s="261">
        <f t="shared" si="8"/>
        <v>33696</v>
      </c>
      <c r="D12" s="262">
        <f t="shared" si="5"/>
        <v>5616</v>
      </c>
      <c r="E12" s="262">
        <f t="shared" si="0"/>
        <v>28080</v>
      </c>
      <c r="F12" s="260"/>
      <c r="G12" s="264">
        <f ca="1">DATA!$D$11/1000000</f>
        <v>3.4251253272152002</v>
      </c>
      <c r="H12" s="264">
        <f>C12*DATA!$D$5/1000000</f>
        <v>36.53067754619434</v>
      </c>
      <c r="I12" s="264">
        <f>(C12*DATA!$D$5*DATA!$D$7)/1000000</f>
        <v>0.82194024478937255</v>
      </c>
      <c r="J12" s="262">
        <f t="shared" ca="1" si="1"/>
        <v>40.777743118198913</v>
      </c>
      <c r="K12" s="260"/>
      <c r="L12" s="262">
        <f>((D12*DATA!$D$23)/1000000)+((E12*DATA!$D$24)/1000000)</f>
        <v>48.680611200000001</v>
      </c>
      <c r="M12" s="262">
        <f t="shared" si="2"/>
        <v>48.680611200000001</v>
      </c>
      <c r="N12" s="262">
        <f t="shared" ca="1" si="6"/>
        <v>7.9028680818010884</v>
      </c>
      <c r="O12" s="261">
        <f>1/(1+'[93]Asumsi I'!$C$3)^(KKF!A12)</f>
        <v>0.56742685571859919</v>
      </c>
      <c r="P12" s="262">
        <f t="shared" ca="1" si="7"/>
        <v>4.4842995868152693</v>
      </c>
      <c r="Q12" s="262">
        <f t="shared" ca="1" si="9"/>
        <v>-76.645323093421297</v>
      </c>
      <c r="S12" s="250" t="str">
        <f t="shared" ca="1" si="3"/>
        <v>a</v>
      </c>
      <c r="T12" s="266" t="str">
        <f t="shared" ca="1" si="10"/>
        <v/>
      </c>
      <c r="U12" s="250"/>
    </row>
    <row r="13" spans="1:21" ht="20.100000000000001" customHeight="1">
      <c r="A13" s="259">
        <f t="shared" si="4"/>
        <v>6</v>
      </c>
      <c r="B13" s="260">
        <f t="shared" si="4"/>
        <v>2029</v>
      </c>
      <c r="C13" s="261">
        <f t="shared" si="8"/>
        <v>33696</v>
      </c>
      <c r="D13" s="262">
        <f t="shared" si="5"/>
        <v>5616</v>
      </c>
      <c r="E13" s="262">
        <f t="shared" si="0"/>
        <v>28080</v>
      </c>
      <c r="F13" s="260"/>
      <c r="G13" s="264">
        <f ca="1">DATA!$D$11/1000000</f>
        <v>3.4251253272152002</v>
      </c>
      <c r="H13" s="264">
        <f>C13*DATA!$D$5/1000000</f>
        <v>36.53067754619434</v>
      </c>
      <c r="I13" s="264">
        <f>(C13*DATA!$D$5*DATA!$D$7)/1000000</f>
        <v>0.82194024478937255</v>
      </c>
      <c r="J13" s="262">
        <f t="shared" ca="1" si="1"/>
        <v>40.777743118198913</v>
      </c>
      <c r="K13" s="260"/>
      <c r="L13" s="262">
        <f>((D13*DATA!$D$23)/1000000)+((E13*DATA!$D$24)/1000000)</f>
        <v>48.680611200000001</v>
      </c>
      <c r="M13" s="262">
        <f t="shared" si="2"/>
        <v>48.680611200000001</v>
      </c>
      <c r="N13" s="262">
        <f t="shared" ca="1" si="6"/>
        <v>7.9028680818010884</v>
      </c>
      <c r="O13" s="261">
        <f>1/(1+'[93]Asumsi I'!$C$3)^(KKF!A13)</f>
        <v>0.50663112117732068</v>
      </c>
      <c r="P13" s="262">
        <f t="shared" ca="1" si="7"/>
        <v>4.0038389167993467</v>
      </c>
      <c r="Q13" s="262">
        <f t="shared" ca="1" si="9"/>
        <v>-72.641484176621944</v>
      </c>
      <c r="S13" s="250" t="str">
        <f t="shared" ca="1" si="3"/>
        <v>a</v>
      </c>
      <c r="T13" s="266" t="str">
        <f t="shared" ca="1" si="10"/>
        <v/>
      </c>
      <c r="U13" s="250"/>
    </row>
    <row r="14" spans="1:21" ht="20.100000000000001" customHeight="1">
      <c r="A14" s="259">
        <f t="shared" si="4"/>
        <v>7</v>
      </c>
      <c r="B14" s="260">
        <f t="shared" si="4"/>
        <v>2030</v>
      </c>
      <c r="C14" s="261">
        <f t="shared" si="8"/>
        <v>33696</v>
      </c>
      <c r="D14" s="262">
        <f t="shared" si="5"/>
        <v>5616</v>
      </c>
      <c r="E14" s="262">
        <f t="shared" si="0"/>
        <v>28080</v>
      </c>
      <c r="F14" s="260"/>
      <c r="G14" s="264">
        <f ca="1">DATA!$D$11/1000000</f>
        <v>3.4251253272152002</v>
      </c>
      <c r="H14" s="264">
        <f>C14*DATA!$D$5/1000000</f>
        <v>36.53067754619434</v>
      </c>
      <c r="I14" s="264">
        <f>(C14*DATA!$D$5*DATA!$D$7)/1000000</f>
        <v>0.82194024478937255</v>
      </c>
      <c r="J14" s="262">
        <f t="shared" ca="1" si="1"/>
        <v>40.777743118198913</v>
      </c>
      <c r="K14" s="260"/>
      <c r="L14" s="262">
        <f>((D14*DATA!$D$23)/1000000)+((E14*DATA!$D$24)/1000000)</f>
        <v>48.680611200000001</v>
      </c>
      <c r="M14" s="262">
        <f t="shared" si="2"/>
        <v>48.680611200000001</v>
      </c>
      <c r="N14" s="262">
        <f t="shared" ca="1" si="6"/>
        <v>7.9028680818010884</v>
      </c>
      <c r="O14" s="261">
        <f>1/(1+'[93]Asumsi I'!$C$3)^(KKF!A14)</f>
        <v>0.45234921533689343</v>
      </c>
      <c r="P14" s="262">
        <f t="shared" ca="1" si="7"/>
        <v>3.5748561757137023</v>
      </c>
      <c r="Q14" s="262">
        <f t="shared" ca="1" si="9"/>
        <v>-69.066628000908239</v>
      </c>
      <c r="S14" s="250" t="str">
        <f t="shared" ca="1" si="3"/>
        <v>a</v>
      </c>
      <c r="T14" s="266" t="str">
        <f t="shared" ca="1" si="10"/>
        <v/>
      </c>
      <c r="U14" s="250"/>
    </row>
    <row r="15" spans="1:21" ht="20.100000000000001" customHeight="1">
      <c r="A15" s="259">
        <f t="shared" si="4"/>
        <v>8</v>
      </c>
      <c r="B15" s="260">
        <f t="shared" si="4"/>
        <v>2031</v>
      </c>
      <c r="C15" s="261">
        <f t="shared" si="8"/>
        <v>33696</v>
      </c>
      <c r="D15" s="262">
        <f t="shared" si="5"/>
        <v>5616</v>
      </c>
      <c r="E15" s="262">
        <f t="shared" si="0"/>
        <v>28080</v>
      </c>
      <c r="F15" s="260"/>
      <c r="G15" s="264">
        <f ca="1">DATA!$D$11/1000000</f>
        <v>3.4251253272152002</v>
      </c>
      <c r="H15" s="264">
        <f>C15*DATA!$D$5/1000000</f>
        <v>36.53067754619434</v>
      </c>
      <c r="I15" s="264">
        <f>(C15*DATA!$D$5*DATA!$D$7)/1000000</f>
        <v>0.82194024478937255</v>
      </c>
      <c r="J15" s="262">
        <f t="shared" ca="1" si="1"/>
        <v>40.777743118198913</v>
      </c>
      <c r="K15" s="260"/>
      <c r="L15" s="262">
        <f>((D15*DATA!$D$23)/1000000)+((E15*DATA!$D$24)/1000000)</f>
        <v>48.680611200000001</v>
      </c>
      <c r="M15" s="262">
        <f t="shared" si="2"/>
        <v>48.680611200000001</v>
      </c>
      <c r="N15" s="262">
        <f t="shared" ca="1" si="6"/>
        <v>7.9028680818010884</v>
      </c>
      <c r="O15" s="261">
        <f>1/(1+'[93]Asumsi I'!$C$3)^(KKF!A15)</f>
        <v>0.4038832279793691</v>
      </c>
      <c r="P15" s="262">
        <f t="shared" ca="1" si="7"/>
        <v>3.1918358711729482</v>
      </c>
      <c r="Q15" s="262">
        <f t="shared" ca="1" si="9"/>
        <v>-65.874792129735283</v>
      </c>
      <c r="S15" s="250" t="str">
        <f t="shared" ca="1" si="3"/>
        <v>a</v>
      </c>
      <c r="T15" s="266" t="str">
        <f t="shared" ca="1" si="10"/>
        <v/>
      </c>
      <c r="U15" s="250"/>
    </row>
    <row r="16" spans="1:21" ht="20.100000000000001" customHeight="1">
      <c r="A16" s="259">
        <f t="shared" si="4"/>
        <v>9</v>
      </c>
      <c r="B16" s="260">
        <f t="shared" si="4"/>
        <v>2032</v>
      </c>
      <c r="C16" s="261">
        <f t="shared" si="8"/>
        <v>33696</v>
      </c>
      <c r="D16" s="262">
        <f t="shared" si="5"/>
        <v>5616</v>
      </c>
      <c r="E16" s="262">
        <f t="shared" si="0"/>
        <v>28080</v>
      </c>
      <c r="F16" s="260"/>
      <c r="G16" s="264">
        <f ca="1">DATA!$D$11/1000000</f>
        <v>3.4251253272152002</v>
      </c>
      <c r="H16" s="264">
        <f>C16*DATA!$D$5/1000000</f>
        <v>36.53067754619434</v>
      </c>
      <c r="I16" s="264">
        <f>(C16*DATA!$D$5*DATA!$D$7)/1000000</f>
        <v>0.82194024478937255</v>
      </c>
      <c r="J16" s="262">
        <f t="shared" ca="1" si="1"/>
        <v>40.777743118198913</v>
      </c>
      <c r="K16" s="260"/>
      <c r="L16" s="262">
        <f>((D16*DATA!$D$23)/1000000)+((E16*DATA!$D$24)/1000000)</f>
        <v>48.680611200000001</v>
      </c>
      <c r="M16" s="262">
        <f t="shared" si="2"/>
        <v>48.680611200000001</v>
      </c>
      <c r="N16" s="262">
        <f t="shared" ca="1" si="6"/>
        <v>7.9028680818010884</v>
      </c>
      <c r="O16" s="261">
        <f>1/(1+'[93]Asumsi I'!$C$3)^(KKF!A16)</f>
        <v>0.36061002498157957</v>
      </c>
      <c r="P16" s="262">
        <f t="shared" ca="1" si="7"/>
        <v>2.8498534564044182</v>
      </c>
      <c r="Q16" s="262">
        <f t="shared" ca="1" si="9"/>
        <v>-63.024938673330865</v>
      </c>
      <c r="S16" s="250" t="str">
        <f t="shared" ca="1" si="3"/>
        <v>a</v>
      </c>
      <c r="T16" s="266" t="str">
        <f t="shared" ca="1" si="10"/>
        <v/>
      </c>
      <c r="U16" s="250"/>
    </row>
    <row r="17" spans="1:21" ht="20.100000000000001" customHeight="1">
      <c r="A17" s="259">
        <f t="shared" si="4"/>
        <v>10</v>
      </c>
      <c r="B17" s="260">
        <f t="shared" si="4"/>
        <v>2033</v>
      </c>
      <c r="C17" s="261">
        <f t="shared" si="8"/>
        <v>33696</v>
      </c>
      <c r="D17" s="262">
        <f t="shared" si="5"/>
        <v>5616</v>
      </c>
      <c r="E17" s="262">
        <f t="shared" si="0"/>
        <v>28080</v>
      </c>
      <c r="F17" s="260"/>
      <c r="G17" s="264">
        <f ca="1">DATA!$D$11/1000000</f>
        <v>3.4251253272152002</v>
      </c>
      <c r="H17" s="264">
        <f>C17*DATA!$D$5/1000000</f>
        <v>36.53067754619434</v>
      </c>
      <c r="I17" s="264">
        <f>(C17*DATA!$D$5*DATA!$D$7)/1000000</f>
        <v>0.82194024478937255</v>
      </c>
      <c r="J17" s="262">
        <f t="shared" ca="1" si="1"/>
        <v>40.777743118198913</v>
      </c>
      <c r="K17" s="260"/>
      <c r="L17" s="262">
        <f>((D17*DATA!$D$23)/1000000)+((E17*DATA!$D$24)/1000000)</f>
        <v>48.680611200000001</v>
      </c>
      <c r="M17" s="262">
        <f t="shared" si="2"/>
        <v>48.680611200000001</v>
      </c>
      <c r="N17" s="262">
        <f t="shared" ca="1" si="6"/>
        <v>7.9028680818010884</v>
      </c>
      <c r="O17" s="261">
        <f>1/(1+'[93]Asumsi I'!$C$3)^(KKF!A17)</f>
        <v>0.32197323659069599</v>
      </c>
      <c r="P17" s="262">
        <f t="shared" ca="1" si="7"/>
        <v>2.5445120146468017</v>
      </c>
      <c r="Q17" s="262">
        <f t="shared" ca="1" si="9"/>
        <v>-60.480426658684067</v>
      </c>
      <c r="S17" s="250" t="str">
        <f t="shared" ca="1" si="3"/>
        <v>a</v>
      </c>
      <c r="T17" s="266" t="str">
        <f t="shared" ca="1" si="10"/>
        <v/>
      </c>
      <c r="U17" s="250"/>
    </row>
    <row r="18" spans="1:21" ht="20.100000000000001" customHeight="1">
      <c r="A18" s="259">
        <f t="shared" si="4"/>
        <v>11</v>
      </c>
      <c r="B18" s="260">
        <f t="shared" si="4"/>
        <v>2034</v>
      </c>
      <c r="C18" s="261">
        <f t="shared" si="8"/>
        <v>33696</v>
      </c>
      <c r="D18" s="262">
        <f t="shared" si="5"/>
        <v>5616</v>
      </c>
      <c r="E18" s="262">
        <f t="shared" si="0"/>
        <v>28080</v>
      </c>
      <c r="F18" s="260"/>
      <c r="G18" s="264">
        <f ca="1">DATA!$D$11/1000000</f>
        <v>3.4251253272152002</v>
      </c>
      <c r="H18" s="264">
        <f>C18*DATA!$D$5/1000000</f>
        <v>36.53067754619434</v>
      </c>
      <c r="I18" s="264">
        <f>(C18*DATA!$D$5*DATA!$D$7)/1000000</f>
        <v>0.82194024478937255</v>
      </c>
      <c r="J18" s="262">
        <f t="shared" ca="1" si="1"/>
        <v>40.777743118198913</v>
      </c>
      <c r="K18" s="260"/>
      <c r="L18" s="262">
        <f>((D18*DATA!$D$23)/1000000)+((E18*DATA!$D$24)/1000000)</f>
        <v>48.680611200000001</v>
      </c>
      <c r="M18" s="262">
        <f t="shared" si="2"/>
        <v>48.680611200000001</v>
      </c>
      <c r="N18" s="262">
        <f t="shared" ca="1" si="6"/>
        <v>7.9028680818010884</v>
      </c>
      <c r="O18" s="261">
        <f>1/(1+'[93]Asumsi I'!$C$3)^(KKF!A18)</f>
        <v>0.28747610409883567</v>
      </c>
      <c r="P18" s="262">
        <f t="shared" ca="1" si="7"/>
        <v>2.2718857273632156</v>
      </c>
      <c r="Q18" s="262">
        <f t="shared" ca="1" si="9"/>
        <v>-58.208540931320854</v>
      </c>
      <c r="S18" s="250" t="str">
        <f t="shared" ca="1" si="3"/>
        <v>a</v>
      </c>
      <c r="T18" s="266" t="str">
        <f t="shared" ca="1" si="10"/>
        <v/>
      </c>
      <c r="U18" s="250"/>
    </row>
    <row r="19" spans="1:21" ht="20.100000000000001" customHeight="1">
      <c r="A19" s="259">
        <f t="shared" si="4"/>
        <v>12</v>
      </c>
      <c r="B19" s="260">
        <f t="shared" si="4"/>
        <v>2035</v>
      </c>
      <c r="C19" s="261">
        <f t="shared" si="8"/>
        <v>33696</v>
      </c>
      <c r="D19" s="262">
        <f t="shared" si="5"/>
        <v>5616</v>
      </c>
      <c r="E19" s="262">
        <f t="shared" si="0"/>
        <v>28080</v>
      </c>
      <c r="F19" s="260"/>
      <c r="G19" s="264">
        <f ca="1">DATA!$D$11/1000000</f>
        <v>3.4251253272152002</v>
      </c>
      <c r="H19" s="264">
        <f>C19*DATA!$D$5/1000000</f>
        <v>36.53067754619434</v>
      </c>
      <c r="I19" s="264">
        <f>(C19*DATA!$D$5*DATA!$D$7)/1000000</f>
        <v>0.82194024478937255</v>
      </c>
      <c r="J19" s="262">
        <f t="shared" ca="1" si="1"/>
        <v>40.777743118198913</v>
      </c>
      <c r="K19" s="260"/>
      <c r="L19" s="262">
        <f>((D19*DATA!$D$23)/1000000)+((E19*DATA!$D$24)/1000000)</f>
        <v>48.680611200000001</v>
      </c>
      <c r="M19" s="262">
        <f t="shared" si="2"/>
        <v>48.680611200000001</v>
      </c>
      <c r="N19" s="262">
        <f t="shared" ca="1" si="6"/>
        <v>7.9028680818010884</v>
      </c>
      <c r="O19" s="261">
        <f>1/(1+'[93]Asumsi I'!$C$3)^(KKF!A19)</f>
        <v>0.25667509294538904</v>
      </c>
      <c r="P19" s="262">
        <f t="shared" ca="1" si="7"/>
        <v>2.0284693994314429</v>
      </c>
      <c r="Q19" s="262">
        <f t="shared" ca="1" si="9"/>
        <v>-56.180071531889411</v>
      </c>
      <c r="S19" s="250" t="str">
        <f t="shared" ca="1" si="3"/>
        <v>a</v>
      </c>
      <c r="T19" s="266" t="str">
        <f t="shared" ca="1" si="10"/>
        <v/>
      </c>
      <c r="U19" s="250"/>
    </row>
    <row r="20" spans="1:21" ht="20.100000000000001" customHeight="1">
      <c r="A20" s="259">
        <f t="shared" si="4"/>
        <v>13</v>
      </c>
      <c r="B20" s="260">
        <f t="shared" si="4"/>
        <v>2036</v>
      </c>
      <c r="C20" s="261">
        <f t="shared" si="8"/>
        <v>33696</v>
      </c>
      <c r="D20" s="262">
        <f t="shared" si="5"/>
        <v>5616</v>
      </c>
      <c r="E20" s="262">
        <f t="shared" si="0"/>
        <v>28080</v>
      </c>
      <c r="F20" s="260"/>
      <c r="G20" s="264">
        <f ca="1">DATA!$D$11/1000000</f>
        <v>3.4251253272152002</v>
      </c>
      <c r="H20" s="264">
        <f>C20*DATA!$D$5/1000000</f>
        <v>36.53067754619434</v>
      </c>
      <c r="I20" s="264">
        <f>(C20*DATA!$D$5*DATA!$D$7)/1000000</f>
        <v>0.82194024478937255</v>
      </c>
      <c r="J20" s="262">
        <f t="shared" ca="1" si="1"/>
        <v>40.777743118198913</v>
      </c>
      <c r="K20" s="260"/>
      <c r="L20" s="262">
        <f>((D20*DATA!$D$23)/1000000)+((E20*DATA!$D$24)/1000000)</f>
        <v>48.680611200000001</v>
      </c>
      <c r="M20" s="262">
        <f t="shared" si="2"/>
        <v>48.680611200000001</v>
      </c>
      <c r="N20" s="262">
        <f t="shared" ca="1" si="6"/>
        <v>7.9028680818010884</v>
      </c>
      <c r="O20" s="261">
        <f>1/(1+'[93]Asumsi I'!$C$3)^(KKF!A20)</f>
        <v>0.22917419012981158</v>
      </c>
      <c r="P20" s="262">
        <f t="shared" ca="1" si="7"/>
        <v>1.8111333923495019</v>
      </c>
      <c r="Q20" s="262">
        <f t="shared" ca="1" si="9"/>
        <v>-54.368938139539907</v>
      </c>
      <c r="S20" s="250" t="str">
        <f t="shared" ca="1" si="3"/>
        <v>a</v>
      </c>
      <c r="T20" s="266" t="str">
        <f t="shared" ca="1" si="10"/>
        <v/>
      </c>
      <c r="U20" s="250"/>
    </row>
    <row r="21" spans="1:21" ht="20.100000000000001" customHeight="1">
      <c r="A21" s="259">
        <f t="shared" si="4"/>
        <v>14</v>
      </c>
      <c r="B21" s="260">
        <f t="shared" si="4"/>
        <v>2037</v>
      </c>
      <c r="C21" s="261">
        <f t="shared" si="8"/>
        <v>33696</v>
      </c>
      <c r="D21" s="262">
        <f t="shared" si="5"/>
        <v>5616</v>
      </c>
      <c r="E21" s="262">
        <f t="shared" si="0"/>
        <v>28080</v>
      </c>
      <c r="F21" s="260"/>
      <c r="G21" s="264">
        <f ca="1">DATA!$D$11/1000000</f>
        <v>3.4251253272152002</v>
      </c>
      <c r="H21" s="264">
        <f>C21*DATA!$D$5/1000000</f>
        <v>36.53067754619434</v>
      </c>
      <c r="I21" s="264">
        <f>(C21*DATA!$D$5*DATA!$D$7)/1000000</f>
        <v>0.82194024478937255</v>
      </c>
      <c r="J21" s="262">
        <f t="shared" ca="1" si="1"/>
        <v>40.777743118198913</v>
      </c>
      <c r="K21" s="260"/>
      <c r="L21" s="262">
        <f>((D21*DATA!$D$23)/1000000)+((E21*DATA!$D$24)/1000000)</f>
        <v>48.680611200000001</v>
      </c>
      <c r="M21" s="262">
        <f t="shared" si="2"/>
        <v>48.680611200000001</v>
      </c>
      <c r="N21" s="262">
        <f t="shared" ca="1" si="6"/>
        <v>7.9028680818010884</v>
      </c>
      <c r="O21" s="261">
        <f>1/(1+'[93]Asumsi I'!$C$3)^(KKF!A21)</f>
        <v>0.20461981261590317</v>
      </c>
      <c r="P21" s="262">
        <f t="shared" ca="1" si="7"/>
        <v>1.6170833860263409</v>
      </c>
      <c r="Q21" s="262">
        <f t="shared" ca="1" si="9"/>
        <v>-52.751854753513562</v>
      </c>
      <c r="S21" s="250" t="str">
        <f t="shared" ca="1" si="3"/>
        <v>a</v>
      </c>
      <c r="T21" s="266" t="str">
        <f t="shared" ca="1" si="10"/>
        <v/>
      </c>
      <c r="U21" s="250"/>
    </row>
    <row r="22" spans="1:21" ht="20.100000000000001" customHeight="1">
      <c r="A22" s="259">
        <f t="shared" si="4"/>
        <v>15</v>
      </c>
      <c r="B22" s="260">
        <f t="shared" si="4"/>
        <v>2038</v>
      </c>
      <c r="C22" s="261">
        <f t="shared" si="8"/>
        <v>33696</v>
      </c>
      <c r="D22" s="262">
        <f t="shared" si="5"/>
        <v>5616</v>
      </c>
      <c r="E22" s="262">
        <f t="shared" si="0"/>
        <v>28080</v>
      </c>
      <c r="F22" s="260"/>
      <c r="G22" s="264">
        <f ca="1">DATA!$D$11/1000000</f>
        <v>3.4251253272152002</v>
      </c>
      <c r="H22" s="264">
        <f>C22*DATA!$D$5/1000000</f>
        <v>36.53067754619434</v>
      </c>
      <c r="I22" s="264">
        <f>(C22*DATA!$D$5*DATA!$D$7)/1000000</f>
        <v>0.82194024478937255</v>
      </c>
      <c r="J22" s="262">
        <f t="shared" ca="1" si="1"/>
        <v>40.777743118198913</v>
      </c>
      <c r="K22" s="260"/>
      <c r="L22" s="262">
        <f>((D22*DATA!$D$23)/1000000)+((E22*DATA!$D$24)/1000000)</f>
        <v>48.680611200000001</v>
      </c>
      <c r="M22" s="262">
        <f t="shared" si="2"/>
        <v>48.680611200000001</v>
      </c>
      <c r="N22" s="262">
        <f t="shared" ca="1" si="6"/>
        <v>7.9028680818010884</v>
      </c>
      <c r="O22" s="261">
        <f>1/(1+'[93]Asumsi I'!$C$3)^(KKF!A22)</f>
        <v>0.18269626126419927</v>
      </c>
      <c r="P22" s="262">
        <f t="shared" ca="1" si="7"/>
        <v>1.4438244518092329</v>
      </c>
      <c r="Q22" s="262">
        <f t="shared" ca="1" si="9"/>
        <v>-51.308030301704328</v>
      </c>
      <c r="S22" s="250" t="str">
        <f t="shared" ca="1" si="3"/>
        <v>a</v>
      </c>
      <c r="T22" s="266" t="str">
        <f t="shared" ca="1" si="10"/>
        <v/>
      </c>
      <c r="U22" s="250"/>
    </row>
    <row r="23" spans="1:21" ht="20.100000000000001" customHeight="1">
      <c r="A23" s="259">
        <f t="shared" si="4"/>
        <v>16</v>
      </c>
      <c r="B23" s="260">
        <f t="shared" si="4"/>
        <v>2039</v>
      </c>
      <c r="C23" s="261">
        <f t="shared" si="8"/>
        <v>33696</v>
      </c>
      <c r="D23" s="262">
        <f t="shared" si="5"/>
        <v>5616</v>
      </c>
      <c r="E23" s="262">
        <f t="shared" si="0"/>
        <v>28080</v>
      </c>
      <c r="F23" s="260"/>
      <c r="G23" s="264">
        <f ca="1">DATA!$D$11/1000000</f>
        <v>3.4251253272152002</v>
      </c>
      <c r="H23" s="264">
        <f>C23*DATA!$D$5/1000000</f>
        <v>36.53067754619434</v>
      </c>
      <c r="I23" s="264">
        <f>(C23*DATA!$D$5*DATA!$D$7)/1000000</f>
        <v>0.82194024478937255</v>
      </c>
      <c r="J23" s="262">
        <f t="shared" ca="1" si="1"/>
        <v>40.777743118198913</v>
      </c>
      <c r="K23" s="260"/>
      <c r="L23" s="262">
        <f>((D23*DATA!$D$23)/1000000)+((E23*DATA!$D$24)/1000000)</f>
        <v>48.680611200000001</v>
      </c>
      <c r="M23" s="262">
        <f t="shared" si="2"/>
        <v>48.680611200000001</v>
      </c>
      <c r="N23" s="262">
        <f t="shared" ca="1" si="6"/>
        <v>7.9028680818010884</v>
      </c>
      <c r="O23" s="261">
        <f>1/(1+'[93]Asumsi I'!$C$3)^(KKF!A23)</f>
        <v>0.16312166184303503</v>
      </c>
      <c r="P23" s="262">
        <f t="shared" ca="1" si="7"/>
        <v>1.2891289748296721</v>
      </c>
      <c r="Q23" s="262">
        <f t="shared" ca="1" si="9"/>
        <v>-50.018901326874655</v>
      </c>
      <c r="S23" s="250" t="str">
        <f t="shared" ca="1" si="3"/>
        <v>a</v>
      </c>
      <c r="T23" s="266" t="str">
        <f t="shared" ca="1" si="10"/>
        <v/>
      </c>
      <c r="U23" s="250"/>
    </row>
    <row r="24" spans="1:21" ht="20.100000000000001" customHeight="1">
      <c r="A24" s="259">
        <f t="shared" si="4"/>
        <v>17</v>
      </c>
      <c r="B24" s="260">
        <f t="shared" si="4"/>
        <v>2040</v>
      </c>
      <c r="C24" s="261">
        <f t="shared" si="8"/>
        <v>33696</v>
      </c>
      <c r="D24" s="262">
        <f t="shared" si="5"/>
        <v>5616</v>
      </c>
      <c r="E24" s="262">
        <f t="shared" si="0"/>
        <v>28080</v>
      </c>
      <c r="F24" s="260"/>
      <c r="G24" s="264">
        <f ca="1">DATA!$D$11/1000000</f>
        <v>3.4251253272152002</v>
      </c>
      <c r="H24" s="264">
        <f>C24*DATA!$D$5/1000000</f>
        <v>36.53067754619434</v>
      </c>
      <c r="I24" s="264">
        <f>(C24*DATA!$D$5*DATA!$D$7)/1000000</f>
        <v>0.82194024478937255</v>
      </c>
      <c r="J24" s="262">
        <f t="shared" ca="1" si="1"/>
        <v>40.777743118198913</v>
      </c>
      <c r="K24" s="260"/>
      <c r="L24" s="262">
        <f>((D24*DATA!$D$23)/1000000)+((E24*DATA!$D$24)/1000000)</f>
        <v>48.680611200000001</v>
      </c>
      <c r="M24" s="262">
        <f t="shared" si="2"/>
        <v>48.680611200000001</v>
      </c>
      <c r="N24" s="262">
        <f t="shared" ca="1" si="6"/>
        <v>7.9028680818010884</v>
      </c>
      <c r="O24" s="261">
        <f>1/(1+'[93]Asumsi I'!$C$3)^(KKF!A24)</f>
        <v>0.14564434093128129</v>
      </c>
      <c r="P24" s="262">
        <f t="shared" ca="1" si="7"/>
        <v>1.1510080132407787</v>
      </c>
      <c r="Q24" s="262">
        <f t="shared" ca="1" si="9"/>
        <v>-48.867893313633878</v>
      </c>
      <c r="S24" s="250" t="str">
        <f t="shared" ca="1" si="3"/>
        <v>a</v>
      </c>
      <c r="T24" s="266" t="str">
        <f t="shared" ca="1" si="10"/>
        <v/>
      </c>
      <c r="U24" s="250"/>
    </row>
    <row r="25" spans="1:21" ht="20.100000000000001" customHeight="1">
      <c r="A25" s="259">
        <f t="shared" ref="A25:B32" si="11">A24+1</f>
        <v>18</v>
      </c>
      <c r="B25" s="260">
        <f t="shared" si="11"/>
        <v>2041</v>
      </c>
      <c r="C25" s="261">
        <f t="shared" si="8"/>
        <v>33696</v>
      </c>
      <c r="D25" s="262">
        <f t="shared" si="5"/>
        <v>5616</v>
      </c>
      <c r="E25" s="262">
        <f t="shared" si="0"/>
        <v>28080</v>
      </c>
      <c r="F25" s="260"/>
      <c r="G25" s="264">
        <f ca="1">DATA!$D$11/1000000</f>
        <v>3.4251253272152002</v>
      </c>
      <c r="H25" s="264">
        <f>C25*DATA!$D$5/1000000</f>
        <v>36.53067754619434</v>
      </c>
      <c r="I25" s="264">
        <f>(C25*DATA!$D$5*DATA!$D$7)/1000000</f>
        <v>0.82194024478937255</v>
      </c>
      <c r="J25" s="262">
        <f t="shared" ca="1" si="1"/>
        <v>40.777743118198913</v>
      </c>
      <c r="K25" s="260"/>
      <c r="L25" s="262">
        <f>((D25*DATA!$D$23)/1000000)+((E25*DATA!$D$24)/1000000)</f>
        <v>48.680611200000001</v>
      </c>
      <c r="M25" s="262">
        <f t="shared" si="2"/>
        <v>48.680611200000001</v>
      </c>
      <c r="N25" s="262">
        <f t="shared" ca="1" si="6"/>
        <v>7.9028680818010884</v>
      </c>
      <c r="O25" s="261">
        <f>1/(1+'[93]Asumsi I'!$C$3)^(KKF!A25)</f>
        <v>0.13003959011721541</v>
      </c>
      <c r="P25" s="262">
        <f t="shared" ca="1" si="7"/>
        <v>1.027685726107838</v>
      </c>
      <c r="Q25" s="262">
        <f t="shared" ca="1" si="9"/>
        <v>-47.840207587526038</v>
      </c>
      <c r="S25" s="250" t="str">
        <f t="shared" ca="1" si="3"/>
        <v>a</v>
      </c>
      <c r="T25" s="266" t="str">
        <f t="shared" ca="1" si="10"/>
        <v/>
      </c>
      <c r="U25" s="250"/>
    </row>
    <row r="26" spans="1:21" ht="20.100000000000001" customHeight="1">
      <c r="A26" s="259">
        <f t="shared" si="11"/>
        <v>19</v>
      </c>
      <c r="B26" s="260">
        <f t="shared" si="11"/>
        <v>2042</v>
      </c>
      <c r="C26" s="261">
        <f t="shared" si="8"/>
        <v>33696</v>
      </c>
      <c r="D26" s="262">
        <f t="shared" si="5"/>
        <v>5616</v>
      </c>
      <c r="E26" s="262">
        <f t="shared" si="0"/>
        <v>28080</v>
      </c>
      <c r="F26" s="260"/>
      <c r="G26" s="264">
        <f ca="1">DATA!$D$11/1000000</f>
        <v>3.4251253272152002</v>
      </c>
      <c r="H26" s="264">
        <f>C26*DATA!$D$5/1000000</f>
        <v>36.53067754619434</v>
      </c>
      <c r="I26" s="264">
        <f>(C26*DATA!$D$5*DATA!$D$7)/1000000</f>
        <v>0.82194024478937255</v>
      </c>
      <c r="J26" s="262">
        <f t="shared" ca="1" si="1"/>
        <v>40.777743118198913</v>
      </c>
      <c r="K26" s="260"/>
      <c r="L26" s="262">
        <f>((D26*DATA!$D$23)/1000000)+((E26*DATA!$D$24)/1000000)</f>
        <v>48.680611200000001</v>
      </c>
      <c r="M26" s="262">
        <f t="shared" si="2"/>
        <v>48.680611200000001</v>
      </c>
      <c r="N26" s="262">
        <f t="shared" ca="1" si="6"/>
        <v>7.9028680818010884</v>
      </c>
      <c r="O26" s="261">
        <f>1/(1+'[93]Asumsi I'!$C$3)^(KKF!A26)</f>
        <v>0.1161067768903709</v>
      </c>
      <c r="P26" s="262">
        <f t="shared" ca="1" si="7"/>
        <v>0.91757654116771237</v>
      </c>
      <c r="Q26" s="262">
        <f t="shared" ca="1" si="9"/>
        <v>-46.922631046358326</v>
      </c>
      <c r="S26" s="250" t="str">
        <f t="shared" ca="1" si="3"/>
        <v>a</v>
      </c>
      <c r="T26" s="266" t="str">
        <f t="shared" ca="1" si="10"/>
        <v/>
      </c>
      <c r="U26" s="250"/>
    </row>
    <row r="27" spans="1:21" ht="20.100000000000001" customHeight="1">
      <c r="A27" s="259">
        <f t="shared" si="11"/>
        <v>20</v>
      </c>
      <c r="B27" s="260">
        <f t="shared" si="11"/>
        <v>2043</v>
      </c>
      <c r="C27" s="261">
        <f t="shared" si="8"/>
        <v>33696</v>
      </c>
      <c r="D27" s="262">
        <f t="shared" si="5"/>
        <v>5616</v>
      </c>
      <c r="E27" s="262">
        <f t="shared" si="0"/>
        <v>28080</v>
      </c>
      <c r="F27" s="260"/>
      <c r="G27" s="264">
        <f ca="1">DATA!$D$11/1000000</f>
        <v>3.4251253272152002</v>
      </c>
      <c r="H27" s="264">
        <f>C27*DATA!$D$5/1000000</f>
        <v>36.53067754619434</v>
      </c>
      <c r="I27" s="264">
        <f>(C27*DATA!$D$5*DATA!$D$7)/1000000</f>
        <v>0.82194024478937255</v>
      </c>
      <c r="J27" s="262">
        <f t="shared" ca="1" si="1"/>
        <v>40.777743118198913</v>
      </c>
      <c r="K27" s="260"/>
      <c r="L27" s="262">
        <f>((D27*DATA!$D$23)/1000000)+((E27*DATA!$D$24)/1000000)</f>
        <v>48.680611200000001</v>
      </c>
      <c r="M27" s="262">
        <f t="shared" si="2"/>
        <v>48.680611200000001</v>
      </c>
      <c r="N27" s="262">
        <f t="shared" ca="1" si="6"/>
        <v>7.9028680818010884</v>
      </c>
      <c r="O27" s="261">
        <f>1/(1+'[93]Asumsi I'!$C$3)^(KKF!A27)</f>
        <v>0.1036667650806883</v>
      </c>
      <c r="P27" s="262">
        <f t="shared" ca="1" si="7"/>
        <v>0.8192647688997432</v>
      </c>
      <c r="Q27" s="262">
        <f t="shared" ca="1" si="9"/>
        <v>-46.103366277458584</v>
      </c>
      <c r="S27" s="250" t="str">
        <f t="shared" ca="1" si="3"/>
        <v>a</v>
      </c>
      <c r="T27" s="266" t="str">
        <f t="shared" ca="1" si="10"/>
        <v/>
      </c>
      <c r="U27" s="250"/>
    </row>
    <row r="28" spans="1:21" ht="20.100000000000001" customHeight="1">
      <c r="A28" s="259">
        <f t="shared" si="11"/>
        <v>21</v>
      </c>
      <c r="B28" s="260">
        <f t="shared" si="11"/>
        <v>2044</v>
      </c>
      <c r="C28" s="261">
        <f t="shared" si="8"/>
        <v>33696</v>
      </c>
      <c r="D28" s="262">
        <f t="shared" si="5"/>
        <v>5616</v>
      </c>
      <c r="E28" s="262">
        <f t="shared" si="0"/>
        <v>28080</v>
      </c>
      <c r="F28" s="260"/>
      <c r="G28" s="264">
        <f ca="1">DATA!$D$11/1000000</f>
        <v>3.4251253272152002</v>
      </c>
      <c r="H28" s="264">
        <f>C28*DATA!$D$5/1000000</f>
        <v>36.53067754619434</v>
      </c>
      <c r="I28" s="264">
        <f>(C28*DATA!$D$5*DATA!$D$7)/1000000</f>
        <v>0.82194024478937255</v>
      </c>
      <c r="J28" s="262">
        <f t="shared" ca="1" si="1"/>
        <v>40.777743118198913</v>
      </c>
      <c r="K28" s="260"/>
      <c r="L28" s="262">
        <f>((D28*DATA!$D$23)/1000000)+((E28*DATA!$D$24)/1000000)</f>
        <v>48.680611200000001</v>
      </c>
      <c r="M28" s="262">
        <f t="shared" si="2"/>
        <v>48.680611200000001</v>
      </c>
      <c r="N28" s="262">
        <f t="shared" ca="1" si="6"/>
        <v>7.9028680818010884</v>
      </c>
      <c r="O28" s="261">
        <f>1/(1+'[93]Asumsi I'!$C$3)^(KKF!A28)</f>
        <v>9.2559611679185971E-2</v>
      </c>
      <c r="P28" s="262">
        <f t="shared" ca="1" si="7"/>
        <v>0.73148640080334204</v>
      </c>
      <c r="Q28" s="262">
        <f t="shared" ca="1" si="9"/>
        <v>-45.371879876655242</v>
      </c>
      <c r="S28" s="250" t="str">
        <f t="shared" ca="1" si="3"/>
        <v>a</v>
      </c>
      <c r="T28" s="266" t="str">
        <f t="shared" ca="1" si="10"/>
        <v/>
      </c>
      <c r="U28" s="250"/>
    </row>
    <row r="29" spans="1:21" ht="20.100000000000001" customHeight="1">
      <c r="A29" s="259">
        <f t="shared" si="11"/>
        <v>22</v>
      </c>
      <c r="B29" s="260">
        <f t="shared" si="11"/>
        <v>2045</v>
      </c>
      <c r="C29" s="261">
        <f t="shared" si="8"/>
        <v>33696</v>
      </c>
      <c r="D29" s="262">
        <f t="shared" si="5"/>
        <v>5616</v>
      </c>
      <c r="E29" s="262">
        <f t="shared" si="0"/>
        <v>28080</v>
      </c>
      <c r="F29" s="260"/>
      <c r="G29" s="264">
        <f ca="1">DATA!$D$11/1000000</f>
        <v>3.4251253272152002</v>
      </c>
      <c r="H29" s="264">
        <f>C29*DATA!$D$5/1000000</f>
        <v>36.53067754619434</v>
      </c>
      <c r="I29" s="264">
        <f>(C29*DATA!$D$5*DATA!$D$7)/1000000</f>
        <v>0.82194024478937255</v>
      </c>
      <c r="J29" s="262">
        <f t="shared" ca="1" si="1"/>
        <v>40.777743118198913</v>
      </c>
      <c r="K29" s="260"/>
      <c r="L29" s="262">
        <f>((D29*DATA!$D$23)/1000000)+((E29*DATA!$D$24)/1000000)</f>
        <v>48.680611200000001</v>
      </c>
      <c r="M29" s="262">
        <f t="shared" si="2"/>
        <v>48.680611200000001</v>
      </c>
      <c r="N29" s="262">
        <f t="shared" ca="1" si="6"/>
        <v>7.9028680818010884</v>
      </c>
      <c r="O29" s="261">
        <f>1/(1+'[93]Asumsi I'!$C$3)^(KKF!A29)</f>
        <v>8.2642510427844609E-2</v>
      </c>
      <c r="P29" s="262">
        <f t="shared" ca="1" si="7"/>
        <v>0.65311285786012674</v>
      </c>
      <c r="Q29" s="262">
        <f t="shared" ca="1" si="9"/>
        <v>-44.718767018795113</v>
      </c>
      <c r="S29" s="250" t="str">
        <f t="shared" ca="1" si="3"/>
        <v>a</v>
      </c>
      <c r="T29" s="266" t="str">
        <f t="shared" ca="1" si="10"/>
        <v/>
      </c>
      <c r="U29" s="250"/>
    </row>
    <row r="30" spans="1:21" ht="20.100000000000001" customHeight="1">
      <c r="A30" s="259">
        <f t="shared" si="11"/>
        <v>23</v>
      </c>
      <c r="B30" s="260">
        <f t="shared" si="11"/>
        <v>2046</v>
      </c>
      <c r="C30" s="261">
        <f t="shared" si="8"/>
        <v>33696</v>
      </c>
      <c r="D30" s="262">
        <f t="shared" si="5"/>
        <v>5616</v>
      </c>
      <c r="E30" s="262">
        <f t="shared" si="0"/>
        <v>28080</v>
      </c>
      <c r="F30" s="260"/>
      <c r="G30" s="264">
        <f ca="1">DATA!$D$11/1000000</f>
        <v>3.4251253272152002</v>
      </c>
      <c r="H30" s="264">
        <f>C30*DATA!$D$5/1000000</f>
        <v>36.53067754619434</v>
      </c>
      <c r="I30" s="264">
        <f>(C30*DATA!$D$5*DATA!$D$7)/1000000</f>
        <v>0.82194024478937255</v>
      </c>
      <c r="J30" s="262">
        <f t="shared" ca="1" si="1"/>
        <v>40.777743118198913</v>
      </c>
      <c r="K30" s="260"/>
      <c r="L30" s="262">
        <f>((D30*DATA!$D$23)/1000000)+((E30*DATA!$D$24)/1000000)</f>
        <v>48.680611200000001</v>
      </c>
      <c r="M30" s="262">
        <f t="shared" si="2"/>
        <v>48.680611200000001</v>
      </c>
      <c r="N30" s="262">
        <f t="shared" ca="1" si="6"/>
        <v>7.9028680818010884</v>
      </c>
      <c r="O30" s="261">
        <f>1/(1+'[93]Asumsi I'!$C$3)^(KKF!A30)</f>
        <v>7.3787955739146982E-2</v>
      </c>
      <c r="P30" s="262">
        <f t="shared" ca="1" si="7"/>
        <v>0.58313648023225617</v>
      </c>
      <c r="Q30" s="262">
        <f t="shared" ca="1" si="9"/>
        <v>-44.135630538562857</v>
      </c>
      <c r="S30" s="250" t="str">
        <f t="shared" ca="1" si="3"/>
        <v>a</v>
      </c>
      <c r="T30" s="266" t="str">
        <f t="shared" ca="1" si="10"/>
        <v/>
      </c>
      <c r="U30" s="250"/>
    </row>
    <row r="31" spans="1:21" ht="20.100000000000001" customHeight="1">
      <c r="A31" s="259">
        <f t="shared" si="11"/>
        <v>24</v>
      </c>
      <c r="B31" s="260">
        <f t="shared" si="11"/>
        <v>2047</v>
      </c>
      <c r="C31" s="261">
        <f t="shared" si="8"/>
        <v>33696</v>
      </c>
      <c r="D31" s="262">
        <f t="shared" si="5"/>
        <v>5616</v>
      </c>
      <c r="E31" s="262">
        <f t="shared" si="0"/>
        <v>28080</v>
      </c>
      <c r="F31" s="260"/>
      <c r="G31" s="264">
        <f ca="1">DATA!$D$11/1000000</f>
        <v>3.4251253272152002</v>
      </c>
      <c r="H31" s="264">
        <f>C31*DATA!$D$5/1000000</f>
        <v>36.53067754619434</v>
      </c>
      <c r="I31" s="264">
        <f>(C31*DATA!$D$5*DATA!$D$7)/1000000</f>
        <v>0.82194024478937255</v>
      </c>
      <c r="J31" s="262">
        <f t="shared" ca="1" si="1"/>
        <v>40.777743118198913</v>
      </c>
      <c r="K31" s="260"/>
      <c r="L31" s="262">
        <f>((D31*DATA!$D$23)/1000000)+((E31*DATA!$D$24)/1000000)</f>
        <v>48.680611200000001</v>
      </c>
      <c r="M31" s="262">
        <f t="shared" si="2"/>
        <v>48.680611200000001</v>
      </c>
      <c r="N31" s="262">
        <f t="shared" ca="1" si="6"/>
        <v>7.9028680818010884</v>
      </c>
      <c r="O31" s="261">
        <f>1/(1+'[93]Asumsi I'!$C$3)^(KKF!A31)</f>
        <v>6.5882103338524081E-2</v>
      </c>
      <c r="P31" s="262">
        <f t="shared" ca="1" si="7"/>
        <v>0.52065757163594284</v>
      </c>
      <c r="Q31" s="262">
        <f ca="1">Q30+P31</f>
        <v>-43.614972966926914</v>
      </c>
      <c r="S31" s="250" t="str">
        <f t="shared" ca="1" si="3"/>
        <v>a</v>
      </c>
      <c r="T31" s="266" t="str">
        <f t="shared" ca="1" si="10"/>
        <v/>
      </c>
      <c r="U31" s="250"/>
    </row>
    <row r="32" spans="1:21" ht="20.100000000000001" customHeight="1">
      <c r="A32" s="259">
        <f t="shared" si="11"/>
        <v>25</v>
      </c>
      <c r="B32" s="260">
        <f>B30+1</f>
        <v>2047</v>
      </c>
      <c r="C32" s="261">
        <f t="shared" si="8"/>
        <v>33696</v>
      </c>
      <c r="D32" s="262">
        <f t="shared" si="5"/>
        <v>5616</v>
      </c>
      <c r="E32" s="262">
        <f t="shared" si="0"/>
        <v>28080</v>
      </c>
      <c r="F32" s="260"/>
      <c r="G32" s="264">
        <f ca="1">DATA!$D$11/1000000</f>
        <v>3.4251253272152002</v>
      </c>
      <c r="H32" s="264">
        <f>C32*DATA!$D$5/1000000</f>
        <v>36.53067754619434</v>
      </c>
      <c r="I32" s="264">
        <f>(C32*DATA!$D$5*DATA!$D$7)/1000000</f>
        <v>0.82194024478937255</v>
      </c>
      <c r="J32" s="262">
        <f t="shared" ca="1" si="1"/>
        <v>40.777743118198913</v>
      </c>
      <c r="K32" s="260"/>
      <c r="L32" s="262">
        <f>((D32*DATA!$D$23)/1000000)+((E32*DATA!$D$24)/1000000)</f>
        <v>48.680611200000001</v>
      </c>
      <c r="M32" s="262">
        <f t="shared" si="2"/>
        <v>48.680611200000001</v>
      </c>
      <c r="N32" s="262">
        <f t="shared" ca="1" si="6"/>
        <v>7.9028680818010884</v>
      </c>
      <c r="O32" s="261">
        <f>1/(1+'[93]Asumsi I'!$C$3)^(KKF!A32)</f>
        <v>5.8823306552253637E-2</v>
      </c>
      <c r="P32" s="262">
        <f t="shared" ca="1" si="7"/>
        <v>0.46487283181780609</v>
      </c>
      <c r="Q32" s="262">
        <f ca="1">Q31+P32</f>
        <v>-43.150100135109106</v>
      </c>
      <c r="S32" s="250" t="str">
        <f t="shared" ca="1" si="3"/>
        <v>a</v>
      </c>
      <c r="T32" s="266" t="str">
        <f t="shared" ca="1" si="10"/>
        <v/>
      </c>
      <c r="U32" s="250"/>
    </row>
    <row r="33" spans="2:22" ht="20.100000000000001" customHeight="1">
      <c r="B33" s="269"/>
      <c r="C33" s="269"/>
      <c r="D33" s="269"/>
      <c r="E33" s="269"/>
      <c r="F33" s="605" t="s">
        <v>1373</v>
      </c>
      <c r="G33" s="605"/>
      <c r="H33" s="605"/>
      <c r="I33" s="270"/>
      <c r="J33" s="271">
        <f ca="1">SUM(J7:J32)</f>
        <v>1206.5758422399431</v>
      </c>
      <c r="K33" s="605" t="s">
        <v>1374</v>
      </c>
      <c r="L33" s="605"/>
      <c r="M33" s="271">
        <f>SUM(M7:M32)</f>
        <v>1299.0141504000001</v>
      </c>
      <c r="N33" s="269"/>
      <c r="O33" s="269"/>
      <c r="P33" s="272"/>
      <c r="Q33" s="272"/>
      <c r="S33" s="250">
        <f ca="1">COUNTIF(S7:S32,"a")</f>
        <v>26</v>
      </c>
    </row>
    <row r="34" spans="2:22" ht="20.100000000000001" customHeight="1">
      <c r="B34" s="269"/>
      <c r="C34" s="269"/>
      <c r="D34" s="269"/>
      <c r="E34" s="269"/>
      <c r="F34" s="273"/>
      <c r="G34" s="273"/>
      <c r="H34" s="273"/>
      <c r="I34" s="273"/>
      <c r="J34" s="274"/>
      <c r="K34" s="273"/>
      <c r="L34" s="273"/>
      <c r="M34" s="274"/>
      <c r="N34" s="269"/>
      <c r="O34" s="269"/>
      <c r="P34" s="275" t="s">
        <v>1375</v>
      </c>
      <c r="Q34" s="276">
        <f ca="1">+J7/N32</f>
        <v>23.679031757584614</v>
      </c>
      <c r="V34" s="277"/>
    </row>
    <row r="35" spans="2:22" ht="20.100000000000001" customHeight="1">
      <c r="B35" s="269"/>
      <c r="C35" s="269"/>
      <c r="D35" s="269"/>
      <c r="E35" s="269"/>
      <c r="F35" s="273"/>
      <c r="G35" s="273"/>
      <c r="H35" s="273"/>
      <c r="I35" s="273"/>
      <c r="J35" s="274"/>
      <c r="K35" s="273"/>
      <c r="L35" s="273"/>
      <c r="M35" s="274"/>
      <c r="N35" s="269"/>
      <c r="O35" s="269"/>
      <c r="P35" s="275" t="s">
        <v>1376</v>
      </c>
      <c r="Q35" s="278" t="e">
        <f ca="1">AVERAGE(T7:T32)</f>
        <v>#DIV/0!</v>
      </c>
    </row>
    <row r="36" spans="2:22" ht="20.100000000000001" customHeight="1">
      <c r="B36" s="269"/>
      <c r="C36" s="269"/>
      <c r="D36" s="269"/>
      <c r="E36" s="269"/>
      <c r="F36" s="273"/>
      <c r="G36" s="273"/>
      <c r="H36" s="273"/>
      <c r="I36" s="273"/>
      <c r="J36" s="274"/>
      <c r="K36" s="273"/>
      <c r="L36" s="273"/>
      <c r="M36" s="274"/>
      <c r="N36" s="269"/>
      <c r="O36" s="269"/>
      <c r="P36" s="275" t="s">
        <v>1377</v>
      </c>
      <c r="Q36" s="279">
        <f ca="1">M33/J33</f>
        <v>1.076612099234848</v>
      </c>
    </row>
    <row r="37" spans="2:22" ht="20.100000000000001" customHeight="1">
      <c r="B37" s="269"/>
      <c r="C37" s="269"/>
      <c r="D37" s="269"/>
      <c r="E37" s="269"/>
      <c r="F37" s="273"/>
      <c r="G37" s="273"/>
      <c r="H37" s="273"/>
      <c r="I37" s="273"/>
      <c r="J37" s="274"/>
      <c r="K37" s="273"/>
      <c r="L37" s="273"/>
      <c r="M37" s="274"/>
      <c r="N37" s="269"/>
      <c r="O37" s="269"/>
      <c r="P37" s="275" t="s">
        <v>1028</v>
      </c>
      <c r="Q37" s="280">
        <f ca="1">+NPV(0.12,N7:N32)</f>
        <v>-38.526875120633143</v>
      </c>
    </row>
    <row r="38" spans="2:22" ht="20.100000000000001" customHeight="1">
      <c r="B38" s="269"/>
      <c r="C38" s="269"/>
      <c r="D38" s="269"/>
      <c r="E38" s="269"/>
      <c r="F38" s="273"/>
      <c r="G38" s="273"/>
      <c r="H38" s="273"/>
      <c r="I38" s="273"/>
      <c r="J38" s="274"/>
      <c r="K38" s="273"/>
      <c r="L38" s="273"/>
      <c r="M38" s="274"/>
      <c r="N38" s="269"/>
      <c r="O38" s="269"/>
      <c r="P38" s="275" t="s">
        <v>1029</v>
      </c>
      <c r="Q38" s="281">
        <f ca="1">IRR(N7:N32,DATA!D4)</f>
        <v>5.5851371407624084E-2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98"/>
  <sheetViews>
    <sheetView showGridLines="0" view="pageBreakPreview" zoomScale="70" zoomScaleNormal="85" zoomScaleSheetLayoutView="70" workbookViewId="0">
      <pane ySplit="13" topLeftCell="A181" activePane="bottomLeft" state="frozen"/>
      <selection activeCell="H1093" sqref="H1093"/>
      <selection pane="bottomLeft" activeCell="C20" sqref="C20"/>
    </sheetView>
  </sheetViews>
  <sheetFormatPr defaultColWidth="9.140625" defaultRowHeight="15"/>
  <cols>
    <col min="1" max="1" width="8.28515625" style="282" customWidth="1"/>
    <col min="2" max="2" width="5.140625" style="283" customWidth="1"/>
    <col min="3" max="3" width="53.42578125" style="349" customWidth="1"/>
    <col min="4" max="4" width="13.7109375" style="349" customWidth="1"/>
    <col min="5" max="5" width="12.5703125" style="286" customWidth="1"/>
    <col min="6" max="6" width="7.7109375" style="286" customWidth="1"/>
    <col min="7" max="7" width="12.7109375" style="286" customWidth="1"/>
    <col min="8" max="8" width="18.140625" style="287" customWidth="1"/>
    <col min="9" max="9" width="16.7109375" style="287" customWidth="1"/>
    <col min="10" max="11" width="16.7109375" style="288" customWidth="1"/>
    <col min="12" max="12" width="1.5703125" style="288" customWidth="1"/>
    <col min="13" max="13" width="16.85546875" style="288" customWidth="1"/>
    <col min="14" max="14" width="15" style="288" customWidth="1"/>
    <col min="15" max="15" width="9.140625" style="289" customWidth="1"/>
    <col min="16" max="16" width="12.7109375" style="290" customWidth="1"/>
    <col min="17" max="17" width="12.7109375" style="289" customWidth="1"/>
    <col min="18" max="18" width="2.42578125" style="289" customWidth="1"/>
    <col min="19" max="22" width="10.85546875" style="289" customWidth="1"/>
    <col min="23" max="24" width="9.140625" style="289" customWidth="1"/>
    <col min="25" max="16384" width="9.140625" style="289"/>
  </cols>
  <sheetData>
    <row r="1" spans="1:22">
      <c r="C1" s="284" t="s">
        <v>1009</v>
      </c>
      <c r="D1" s="285"/>
      <c r="U1" s="282"/>
    </row>
    <row r="2" spans="1:22">
      <c r="C2" s="284" t="s">
        <v>1347</v>
      </c>
      <c r="D2" s="285"/>
      <c r="T2" s="290"/>
      <c r="U2" s="291" t="s">
        <v>1036</v>
      </c>
      <c r="V2" s="290"/>
    </row>
    <row r="3" spans="1:22">
      <c r="C3" s="284" t="s">
        <v>1439</v>
      </c>
      <c r="D3" s="285"/>
      <c r="O3" s="608" t="s">
        <v>1036</v>
      </c>
      <c r="P3" s="608"/>
      <c r="Q3" s="292"/>
      <c r="T3" s="290"/>
      <c r="U3" s="291" t="s">
        <v>1041</v>
      </c>
      <c r="V3" s="290"/>
    </row>
    <row r="4" spans="1:22" ht="15.75" customHeight="1">
      <c r="B4" s="609" t="s">
        <v>1023</v>
      </c>
      <c r="C4" s="609"/>
      <c r="D4" s="609"/>
      <c r="E4" s="609"/>
      <c r="F4" s="609"/>
      <c r="G4" s="609"/>
      <c r="H4" s="609"/>
      <c r="I4" s="609"/>
      <c r="J4" s="609"/>
      <c r="K4" s="609"/>
      <c r="O4" s="608"/>
      <c r="P4" s="608"/>
      <c r="T4" s="290"/>
      <c r="U4" s="290"/>
      <c r="V4" s="290"/>
    </row>
    <row r="5" spans="1:22">
      <c r="C5" s="293"/>
      <c r="D5" s="285"/>
      <c r="T5" s="290"/>
      <c r="U5" s="291"/>
      <c r="V5" s="290"/>
    </row>
    <row r="6" spans="1:22" ht="15" customHeight="1">
      <c r="C6" s="293"/>
      <c r="D6" s="285"/>
      <c r="E6" s="294" t="s">
        <v>1037</v>
      </c>
      <c r="F6" s="295" t="s">
        <v>9</v>
      </c>
      <c r="G6" s="625" t="s">
        <v>1643</v>
      </c>
      <c r="H6" s="626"/>
      <c r="I6" s="626"/>
      <c r="J6" s="626"/>
      <c r="K6" s="626"/>
      <c r="T6" s="290"/>
      <c r="U6" s="291"/>
      <c r="V6" s="290"/>
    </row>
    <row r="7" spans="1:22">
      <c r="C7" s="293"/>
      <c r="D7" s="285"/>
      <c r="E7" s="294" t="s">
        <v>1038</v>
      </c>
      <c r="F7" s="295" t="s">
        <v>9</v>
      </c>
      <c r="G7" s="294" t="s">
        <v>1645</v>
      </c>
      <c r="J7" s="296"/>
      <c r="T7" s="290"/>
      <c r="U7" s="291"/>
      <c r="V7" s="290"/>
    </row>
    <row r="8" spans="1:22">
      <c r="C8" s="293"/>
      <c r="D8" s="285"/>
      <c r="E8" s="294" t="s">
        <v>1039</v>
      </c>
      <c r="F8" s="295" t="s">
        <v>9</v>
      </c>
      <c r="G8" s="106" t="s">
        <v>1438</v>
      </c>
      <c r="J8" s="296"/>
      <c r="T8" s="290"/>
      <c r="U8" s="291"/>
      <c r="V8" s="290"/>
    </row>
    <row r="9" spans="1:22">
      <c r="C9" s="293"/>
      <c r="D9" s="285"/>
      <c r="E9" s="294" t="s">
        <v>1040</v>
      </c>
      <c r="F9" s="295" t="s">
        <v>9</v>
      </c>
      <c r="G9" s="294" t="s">
        <v>1542</v>
      </c>
      <c r="J9" s="296"/>
      <c r="T9" s="290"/>
      <c r="U9" s="291"/>
      <c r="V9" s="290"/>
    </row>
    <row r="10" spans="1:22" ht="15.75" thickBot="1">
      <c r="C10" s="285"/>
      <c r="D10" s="285"/>
      <c r="T10" s="290"/>
      <c r="U10" s="290"/>
      <c r="V10" s="290"/>
    </row>
    <row r="11" spans="1:22" ht="21" customHeight="1">
      <c r="B11" s="611" t="s">
        <v>0</v>
      </c>
      <c r="C11" s="613" t="s">
        <v>1</v>
      </c>
      <c r="D11" s="616" t="s">
        <v>42</v>
      </c>
      <c r="E11" s="616" t="s">
        <v>43</v>
      </c>
      <c r="F11" s="616" t="s">
        <v>1608</v>
      </c>
      <c r="G11" s="618" t="s">
        <v>41</v>
      </c>
      <c r="H11" s="616" t="s">
        <v>3</v>
      </c>
      <c r="I11" s="616"/>
      <c r="J11" s="616"/>
      <c r="K11" s="634"/>
      <c r="O11" s="297"/>
      <c r="P11" s="298"/>
      <c r="Q11" s="297"/>
      <c r="S11" s="299"/>
      <c r="T11" s="300"/>
      <c r="U11" s="300"/>
      <c r="V11" s="300"/>
    </row>
    <row r="12" spans="1:22" ht="15" customHeight="1">
      <c r="B12" s="612"/>
      <c r="C12" s="614"/>
      <c r="D12" s="617"/>
      <c r="E12" s="617"/>
      <c r="F12" s="617"/>
      <c r="G12" s="619"/>
      <c r="H12" s="621" t="s">
        <v>46</v>
      </c>
      <c r="I12" s="621" t="s">
        <v>5</v>
      </c>
      <c r="J12" s="617" t="s">
        <v>47</v>
      </c>
      <c r="K12" s="635" t="s">
        <v>4</v>
      </c>
      <c r="O12" s="298"/>
      <c r="P12" s="298"/>
      <c r="Q12" s="298"/>
      <c r="S12" s="299"/>
      <c r="T12" s="299"/>
      <c r="U12" s="299"/>
      <c r="V12" s="299"/>
    </row>
    <row r="13" spans="1:22" ht="15" customHeight="1">
      <c r="B13" s="612"/>
      <c r="C13" s="615"/>
      <c r="D13" s="617"/>
      <c r="E13" s="617"/>
      <c r="F13" s="617"/>
      <c r="G13" s="620"/>
      <c r="H13" s="622"/>
      <c r="I13" s="622"/>
      <c r="J13" s="617"/>
      <c r="K13" s="635"/>
      <c r="O13" s="301"/>
      <c r="P13" s="301"/>
      <c r="Q13" s="301"/>
      <c r="S13" s="299"/>
      <c r="T13" s="299"/>
      <c r="U13" s="299"/>
      <c r="V13" s="299"/>
    </row>
    <row r="14" spans="1:22" s="315" customFormat="1">
      <c r="A14" s="282" t="e">
        <f>IF(AND(C14=0,#REF!=0,#REF!=0),"BLANKS",1)</f>
        <v>#REF!</v>
      </c>
      <c r="B14" s="311" t="s">
        <v>10</v>
      </c>
      <c r="C14" s="312" t="s">
        <v>1604</v>
      </c>
      <c r="D14" s="304" t="str">
        <f ca="1">IF(ISERROR(OFFSET('HARGA SATUAN'!$D$6,MATCH(RAB!C14,'HARGA SATUAN'!$C$7:$C$1495,0),0)),"",OFFSET('HARGA SATUAN'!$D$6,MATCH(RAB!C14,'HARGA SATUAN'!$C$7:$C$1495,0),0))</f>
        <v/>
      </c>
      <c r="E14" s="305" t="str">
        <f ca="1">IF(B14="+","Unit",IF(ISERROR(OFFSET('HARGA SATUAN'!$E$6,MATCH(RAB!C14,'HARGA SATUAN'!$C$7:$C$1495,0),0)),"",OFFSET('HARGA SATUAN'!$E$6,MATCH(RAB!C14,'HARGA SATUAN'!$C$7:$C$1495,0),0)))</f>
        <v/>
      </c>
      <c r="F14" s="313"/>
      <c r="G14" s="306">
        <f ca="1">IF(ISERROR(OFFSET('HARGA SATUAN'!$I$6,MATCH(RAB!C14,'HARGA SATUAN'!$C$7:$C$1495,0),0)),0,OFFSET('HARGA SATUAN'!$I$6,MATCH(RAB!C14,'HARGA SATUAN'!$C$7:$C$1495,0),0))</f>
        <v>0</v>
      </c>
      <c r="H14" s="307">
        <f t="shared" ref="H14:H100" ca="1" si="0">IF(OR(D14="MDU",D14="MDU-KD"),(IF($O$3="RAB NON MDU","PLN KD",G14*F14)),0)</f>
        <v>0</v>
      </c>
      <c r="I14" s="307">
        <f t="shared" ref="I14:I100" ca="1" si="1">IF(D14="HDW",G14*F14,0)</f>
        <v>0</v>
      </c>
      <c r="J14" s="307">
        <f t="shared" ref="J14:J100" ca="1" si="2">IF(D14="JASA",G14*F14,0)</f>
        <v>0</v>
      </c>
      <c r="K14" s="308">
        <f t="shared" ref="K14:K100" ca="1" si="3">SUM(H14:J14)</f>
        <v>0</v>
      </c>
      <c r="L14" s="288"/>
      <c r="M14" s="288" t="e">
        <f>IF(AND(F14&gt;0,#REF!=0),"",IF(AND(ISBLANK(F14)=FALSE,K14=0),"WARNING",""))</f>
        <v>#REF!</v>
      </c>
      <c r="N14" s="314"/>
      <c r="O14" s="309"/>
      <c r="P14" s="309"/>
      <c r="Q14" s="290"/>
      <c r="R14" s="282"/>
      <c r="S14" s="310"/>
      <c r="T14" s="287"/>
      <c r="U14" s="287"/>
      <c r="V14" s="287"/>
    </row>
    <row r="15" spans="1:22" s="315" customFormat="1">
      <c r="A15" s="282"/>
      <c r="B15" s="484">
        <v>1</v>
      </c>
      <c r="C15" s="485" t="s">
        <v>104</v>
      </c>
      <c r="D15" s="304" t="str">
        <f ca="1">IF(ISERROR(OFFSET('HARGA SATUAN'!$D$6,MATCH(RAB!C15,'HARGA SATUAN'!$C$7:$C$1495,0),0)),"",OFFSET('HARGA SATUAN'!$D$6,MATCH(RAB!C15,'HARGA SATUAN'!$C$7:$C$1495,0),0))</f>
        <v>HDW</v>
      </c>
      <c r="E15" s="305" t="str">
        <f ca="1">IF(B15="+","Unit",IF(ISERROR(OFFSET('HARGA SATUAN'!$E$6,MATCH(RAB!C15,'HARGA SATUAN'!$C$7:$C$1495,0),0)),"",OFFSET('HARGA SATUAN'!$E$6,MATCH(RAB!C15,'HARGA SATUAN'!$C$7:$C$1495,0),0)))</f>
        <v>Btg</v>
      </c>
      <c r="F15" s="415">
        <v>1</v>
      </c>
      <c r="G15" s="306">
        <f ca="1">IF(ISERROR(OFFSET('HARGA SATUAN'!$I$6,MATCH(RAB!C15,'HARGA SATUAN'!$C$7:$C$1495,0),0)),0,OFFSET('HARGA SATUAN'!$I$6,MATCH(RAB!C15,'HARGA SATUAN'!$C$7:$C$1495,0),0))</f>
        <v>6074400</v>
      </c>
      <c r="H15" s="307">
        <f t="shared" ref="H15:H16" ca="1" si="4">IF(OR(D15="MDU",D15="MDU-KD"),(IF($O$3="RAB NON MDU","PLN KD",G15*F15)),0)</f>
        <v>0</v>
      </c>
      <c r="I15" s="307">
        <f t="shared" ref="I15:I16" ca="1" si="5">IF(D15="HDW",G15*F15,0)</f>
        <v>6074400</v>
      </c>
      <c r="J15" s="307">
        <f t="shared" ref="J15:J16" ca="1" si="6">IF(D15="JASA",G15*F15,0)</f>
        <v>0</v>
      </c>
      <c r="K15" s="308">
        <f t="shared" ref="K15:K16" ca="1" si="7">SUM(H15:J15)</f>
        <v>6074400</v>
      </c>
      <c r="L15" s="288"/>
      <c r="M15" s="288" t="e">
        <f>IF(AND(F15&gt;0,#REF!=0),"",IF(AND(ISBLANK(F15)=FALSE,K15=0),"WARNING",""))</f>
        <v>#REF!</v>
      </c>
      <c r="N15" s="314"/>
      <c r="O15" s="309"/>
      <c r="P15" s="309"/>
      <c r="Q15" s="290"/>
      <c r="R15" s="282"/>
      <c r="S15" s="310"/>
      <c r="T15" s="287"/>
      <c r="U15" s="287"/>
      <c r="V15" s="287"/>
    </row>
    <row r="16" spans="1:22" s="315" customFormat="1">
      <c r="A16" s="282"/>
      <c r="B16" s="484">
        <v>2</v>
      </c>
      <c r="C16" s="485" t="s">
        <v>103</v>
      </c>
      <c r="D16" s="304" t="str">
        <f ca="1">IF(ISERROR(OFFSET('HARGA SATUAN'!$D$6,MATCH(RAB!C16,'HARGA SATUAN'!$C$7:$C$1495,0),0)),"",OFFSET('HARGA SATUAN'!$D$6,MATCH(RAB!C16,'HARGA SATUAN'!$C$7:$C$1495,0),0))</f>
        <v>HDW</v>
      </c>
      <c r="E16" s="305" t="str">
        <f ca="1">IF(B16="+","Unit",IF(ISERROR(OFFSET('HARGA SATUAN'!$E$6,MATCH(RAB!C16,'HARGA SATUAN'!$C$7:$C$1495,0),0)),"",OFFSET('HARGA SATUAN'!$E$6,MATCH(RAB!C16,'HARGA SATUAN'!$C$7:$C$1495,0),0)))</f>
        <v>Btg</v>
      </c>
      <c r="F16" s="415">
        <v>5</v>
      </c>
      <c r="G16" s="306">
        <f ca="1">IF(ISERROR(OFFSET('HARGA SATUAN'!$I$6,MATCH(RAB!C16,'HARGA SATUAN'!$C$7:$C$1495,0),0)),0,OFFSET('HARGA SATUAN'!$I$6,MATCH(RAB!C16,'HARGA SATUAN'!$C$7:$C$1495,0),0))</f>
        <v>5800000</v>
      </c>
      <c r="H16" s="307">
        <f t="shared" ca="1" si="4"/>
        <v>0</v>
      </c>
      <c r="I16" s="307">
        <f t="shared" ca="1" si="5"/>
        <v>29000000</v>
      </c>
      <c r="J16" s="307">
        <f t="shared" ca="1" si="6"/>
        <v>0</v>
      </c>
      <c r="K16" s="308">
        <f t="shared" ca="1" si="7"/>
        <v>29000000</v>
      </c>
      <c r="L16" s="288"/>
      <c r="M16" s="288" t="str">
        <f t="shared" ref="M16:M72" ca="1" si="8">IF(AND(F16&gt;0,F15=0),"",IF(AND(ISBLANK(F16)=FALSE,K16=0),"WARNING",""))</f>
        <v/>
      </c>
      <c r="N16" s="314"/>
      <c r="O16" s="309"/>
      <c r="P16" s="309"/>
      <c r="Q16" s="290"/>
      <c r="R16" s="282"/>
      <c r="S16" s="310"/>
      <c r="T16" s="287"/>
      <c r="U16" s="287"/>
      <c r="V16" s="287"/>
    </row>
    <row r="17" spans="1:22" s="315" customFormat="1">
      <c r="A17" s="282"/>
      <c r="B17" s="484">
        <v>3</v>
      </c>
      <c r="C17" s="413" t="s">
        <v>101</v>
      </c>
      <c r="D17" s="304" t="str">
        <f ca="1">IF(ISERROR(OFFSET('HARGA SATUAN'!$D$6,MATCH(RAB!C17,'HARGA SATUAN'!$C$7:$C$1495,0),0)),"",OFFSET('HARGA SATUAN'!$D$6,MATCH(RAB!C17,'HARGA SATUAN'!$C$7:$C$1495,0),0))</f>
        <v>HDW</v>
      </c>
      <c r="E17" s="305" t="str">
        <f ca="1">IF(B17="+","Unit",IF(ISERROR(OFFSET('HARGA SATUAN'!$E$6,MATCH(RAB!C17,'HARGA SATUAN'!$C$7:$C$1495,0),0)),"",OFFSET('HARGA SATUAN'!$E$6,MATCH(RAB!C17,'HARGA SATUAN'!$C$7:$C$1495,0),0)))</f>
        <v>Btg</v>
      </c>
      <c r="F17" s="415">
        <v>3</v>
      </c>
      <c r="G17" s="306">
        <f ca="1">IF(ISERROR(OFFSET('HARGA SATUAN'!$I$6,MATCH(RAB!C17,'HARGA SATUAN'!$C$7:$C$1495,0),0)),0,OFFSET('HARGA SATUAN'!$I$6,MATCH(RAB!C17,'HARGA SATUAN'!$C$7:$C$1495,0),0))</f>
        <v>3382600</v>
      </c>
      <c r="H17" s="307">
        <f t="shared" ca="1" si="0"/>
        <v>0</v>
      </c>
      <c r="I17" s="307">
        <f t="shared" ca="1" si="1"/>
        <v>10147800</v>
      </c>
      <c r="J17" s="307">
        <f t="shared" ca="1" si="2"/>
        <v>0</v>
      </c>
      <c r="K17" s="308">
        <f t="shared" ca="1" si="3"/>
        <v>10147800</v>
      </c>
      <c r="L17" s="288"/>
      <c r="M17" s="288" t="str">
        <f t="shared" ca="1" si="8"/>
        <v/>
      </c>
      <c r="N17" s="314"/>
      <c r="O17" s="309"/>
      <c r="P17" s="309"/>
      <c r="Q17" s="290"/>
      <c r="R17" s="282"/>
      <c r="S17" s="310"/>
      <c r="T17" s="287"/>
      <c r="U17" s="287"/>
      <c r="V17" s="287"/>
    </row>
    <row r="18" spans="1:22" s="315" customFormat="1">
      <c r="A18" s="282"/>
      <c r="B18" s="416">
        <v>4</v>
      </c>
      <c r="C18" s="413" t="s">
        <v>6</v>
      </c>
      <c r="D18" s="304" t="str">
        <f ca="1">IF(ISERROR(OFFSET('HARGA SATUAN'!$D$6,MATCH(RAB!C18,'HARGA SATUAN'!$C$7:$C$1495,0),0)),"",OFFSET('HARGA SATUAN'!$D$6,MATCH(RAB!C18,'HARGA SATUAN'!$C$7:$C$1495,0),0))</f>
        <v>JASA</v>
      </c>
      <c r="E18" s="305" t="str">
        <f ca="1">IF(B18="+","Unit",IF(ISERROR(OFFSET('HARGA SATUAN'!$E$6,MATCH(RAB!C18,'HARGA SATUAN'!$C$7:$C$1495,0),0)),"",OFFSET('HARGA SATUAN'!$E$6,MATCH(RAB!C18,'HARGA SATUAN'!$C$7:$C$1495,0),0)))</f>
        <v>Btg</v>
      </c>
      <c r="F18" s="415">
        <f>SUM(F15:F17)</f>
        <v>9</v>
      </c>
      <c r="G18" s="306">
        <f ca="1">IF(ISERROR(OFFSET('HARGA SATUAN'!$I$6,MATCH(RAB!C18,'HARGA SATUAN'!$C$7:$C$1495,0),0)),0,OFFSET('HARGA SATUAN'!$I$6,MATCH(RAB!C18,'HARGA SATUAN'!$C$7:$C$1495,0),0))</f>
        <v>10066.666666666668</v>
      </c>
      <c r="H18" s="307">
        <f t="shared" ca="1" si="0"/>
        <v>0</v>
      </c>
      <c r="I18" s="307">
        <f t="shared" ca="1" si="1"/>
        <v>0</v>
      </c>
      <c r="J18" s="307">
        <f t="shared" ca="1" si="2"/>
        <v>90600.000000000015</v>
      </c>
      <c r="K18" s="308">
        <f t="shared" ca="1" si="3"/>
        <v>90600.000000000015</v>
      </c>
      <c r="L18" s="288"/>
      <c r="M18" s="288" t="str">
        <f t="shared" ca="1" si="8"/>
        <v/>
      </c>
      <c r="N18" s="314"/>
      <c r="O18" s="309"/>
      <c r="P18" s="309"/>
      <c r="Q18" s="290"/>
      <c r="R18" s="282"/>
      <c r="S18" s="310"/>
      <c r="T18" s="287"/>
      <c r="U18" s="287"/>
      <c r="V18" s="287"/>
    </row>
    <row r="19" spans="1:22" s="315" customFormat="1" hidden="1">
      <c r="A19" s="282"/>
      <c r="B19" s="416"/>
      <c r="C19" s="413"/>
      <c r="D19" s="304" t="str">
        <f ca="1">IF(ISERROR(OFFSET('HARGA SATUAN'!$D$6,MATCH(RAB!C19,'HARGA SATUAN'!$C$7:$C$1495,0),0)),"",OFFSET('HARGA SATUAN'!$D$6,MATCH(RAB!C19,'HARGA SATUAN'!$C$7:$C$1495,0),0))</f>
        <v/>
      </c>
      <c r="E19" s="305" t="str">
        <f ca="1">IF(B19="+","Unit",IF(ISERROR(OFFSET('HARGA SATUAN'!$E$6,MATCH(RAB!C19,'HARGA SATUAN'!$C$7:$C$1495,0),0)),"",OFFSET('HARGA SATUAN'!$E$6,MATCH(RAB!C19,'HARGA SATUAN'!$C$7:$C$1495,0),0)))</f>
        <v/>
      </c>
      <c r="F19" s="415"/>
      <c r="G19" s="306">
        <f ca="1">IF(ISERROR(OFFSET('HARGA SATUAN'!$I$6,MATCH(RAB!C19,'HARGA SATUAN'!$C$7:$C$1495,0),0)),0,OFFSET('HARGA SATUAN'!$I$6,MATCH(RAB!C19,'HARGA SATUAN'!$C$7:$C$1495,0),0))</f>
        <v>0</v>
      </c>
      <c r="H19" s="307">
        <f t="shared" ca="1" si="0"/>
        <v>0</v>
      </c>
      <c r="I19" s="307">
        <f t="shared" ca="1" si="1"/>
        <v>0</v>
      </c>
      <c r="J19" s="307">
        <f t="shared" ca="1" si="2"/>
        <v>0</v>
      </c>
      <c r="K19" s="308">
        <f t="shared" ca="1" si="3"/>
        <v>0</v>
      </c>
      <c r="L19" s="288"/>
      <c r="M19" s="288" t="str">
        <f t="shared" ca="1" si="8"/>
        <v/>
      </c>
      <c r="N19" s="314"/>
      <c r="O19" s="309"/>
      <c r="P19" s="309"/>
      <c r="Q19" s="290"/>
      <c r="R19" s="282"/>
      <c r="S19" s="310"/>
      <c r="T19" s="287"/>
      <c r="U19" s="287"/>
      <c r="V19" s="287"/>
    </row>
    <row r="20" spans="1:22" s="315" customFormat="1">
      <c r="A20" s="282"/>
      <c r="B20" s="302"/>
      <c r="C20" s="303"/>
      <c r="D20" s="304" t="str">
        <f ca="1">IF(ISERROR(OFFSET('HARGA SATUAN'!$D$6,MATCH(RAB!C20,'HARGA SATUAN'!$C$7:$C$1495,0),0)),"",OFFSET('HARGA SATUAN'!$D$6,MATCH(RAB!C20,'HARGA SATUAN'!$C$7:$C$1495,0),0))</f>
        <v/>
      </c>
      <c r="E20" s="305" t="str">
        <f ca="1">IF(B20="+","Unit",IF(ISERROR(OFFSET('HARGA SATUAN'!$E$6,MATCH(RAB!C20,'HARGA SATUAN'!$C$7:$C$1495,0),0)),"",OFFSET('HARGA SATUAN'!$E$6,MATCH(RAB!C20,'HARGA SATUAN'!$C$7:$C$1495,0),0)))</f>
        <v/>
      </c>
      <c r="F20" s="415"/>
      <c r="G20" s="306">
        <f ca="1">IF(ISERROR(OFFSET('HARGA SATUAN'!$I$6,MATCH(RAB!C20,'HARGA SATUAN'!$C$7:$C$1495,0),0)),0,OFFSET('HARGA SATUAN'!$I$6,MATCH(RAB!C20,'HARGA SATUAN'!$C$7:$C$1495,0),0))</f>
        <v>0</v>
      </c>
      <c r="H20" s="307">
        <f t="shared" ca="1" si="0"/>
        <v>0</v>
      </c>
      <c r="I20" s="307">
        <f t="shared" ca="1" si="1"/>
        <v>0</v>
      </c>
      <c r="J20" s="307">
        <f t="shared" ca="1" si="2"/>
        <v>0</v>
      </c>
      <c r="K20" s="308">
        <f t="shared" ca="1" si="3"/>
        <v>0</v>
      </c>
      <c r="L20" s="288"/>
      <c r="M20" s="288" t="str">
        <f t="shared" ca="1" si="8"/>
        <v/>
      </c>
      <c r="N20" s="314"/>
      <c r="O20" s="309"/>
      <c r="P20" s="309"/>
      <c r="Q20" s="290"/>
      <c r="R20" s="282"/>
      <c r="S20" s="310"/>
      <c r="T20" s="287"/>
      <c r="U20" s="287"/>
      <c r="V20" s="287"/>
    </row>
    <row r="21" spans="1:22" s="315" customFormat="1">
      <c r="A21" s="282"/>
      <c r="B21" s="414" t="s">
        <v>1600</v>
      </c>
      <c r="C21" s="417" t="s">
        <v>1606</v>
      </c>
      <c r="D21" s="304" t="str">
        <f ca="1">IF(ISERROR(OFFSET('HARGA SATUAN'!$D$6,MATCH(RAB!C21,'HARGA SATUAN'!$C$7:$C$1495,0),0)),"",OFFSET('HARGA SATUAN'!$D$6,MATCH(RAB!C21,'HARGA SATUAN'!$C$7:$C$1495,0),0))</f>
        <v/>
      </c>
      <c r="E21" s="305" t="str">
        <f ca="1">IF(B21="+","Unit",IF(ISERROR(OFFSET('HARGA SATUAN'!$E$6,MATCH(RAB!C21,'HARGA SATUAN'!$C$7:$C$1495,0),0)),"",OFFSET('HARGA SATUAN'!$E$6,MATCH(RAB!C21,'HARGA SATUAN'!$C$7:$C$1495,0),0)))</f>
        <v/>
      </c>
      <c r="F21" s="415"/>
      <c r="G21" s="306">
        <f ca="1">IF(ISERROR(OFFSET('HARGA SATUAN'!$I$6,MATCH(RAB!C21,'HARGA SATUAN'!$C$7:$C$1495,0),0)),0,OFFSET('HARGA SATUAN'!$I$6,MATCH(RAB!C21,'HARGA SATUAN'!$C$7:$C$1495,0),0))</f>
        <v>0</v>
      </c>
      <c r="H21" s="307">
        <f t="shared" ca="1" si="0"/>
        <v>0</v>
      </c>
      <c r="I21" s="307">
        <f t="shared" ca="1" si="1"/>
        <v>0</v>
      </c>
      <c r="J21" s="307">
        <f t="shared" ca="1" si="2"/>
        <v>0</v>
      </c>
      <c r="K21" s="308">
        <f t="shared" ca="1" si="3"/>
        <v>0</v>
      </c>
      <c r="L21" s="288"/>
      <c r="M21" s="288" t="str">
        <f t="shared" ca="1" si="8"/>
        <v/>
      </c>
      <c r="N21" s="314"/>
      <c r="O21" s="309"/>
      <c r="P21" s="309"/>
      <c r="Q21" s="290"/>
      <c r="R21" s="282"/>
      <c r="S21" s="310"/>
      <c r="T21" s="287"/>
      <c r="U21" s="287"/>
      <c r="V21" s="287"/>
    </row>
    <row r="22" spans="1:22" s="315" customFormat="1">
      <c r="A22" s="282"/>
      <c r="B22" s="316" t="s">
        <v>1035</v>
      </c>
      <c r="C22" s="317" t="s">
        <v>1639</v>
      </c>
      <c r="D22" s="304" t="str">
        <f ca="1">IF(ISERROR(OFFSET('HARGA SATUAN'!$D$6,MATCH(RAB!C22,'HARGA SATUAN'!$C$7:$C$1495,0),0)),"",OFFSET('HARGA SATUAN'!$D$6,MATCH(RAB!C22,'HARGA SATUAN'!$C$7:$C$1495,0),0))</f>
        <v/>
      </c>
      <c r="E22" s="305" t="str">
        <f ca="1">IF(B22="+","Unit",IF(ISERROR(OFFSET('HARGA SATUAN'!$E$6,MATCH(RAB!C22,'HARGA SATUAN'!$C$7:$C$1495,0),0)),"",OFFSET('HARGA SATUAN'!$E$6,MATCH(RAB!C22,'HARGA SATUAN'!$C$7:$C$1495,0),0)))</f>
        <v>Unit</v>
      </c>
      <c r="F22" s="415">
        <v>2</v>
      </c>
      <c r="G22" s="306">
        <f ca="1">IF(ISERROR(OFFSET('HARGA SATUAN'!$I$6,MATCH(RAB!C22,'HARGA SATUAN'!$C$7:$C$1495,0),0)),0,OFFSET('HARGA SATUAN'!$I$6,MATCH(RAB!C22,'HARGA SATUAN'!$C$7:$C$1495,0),0))</f>
        <v>0</v>
      </c>
      <c r="H22" s="307">
        <f t="shared" ref="H22:H33" ca="1" si="9">IF(OR(D22="MDU",D22="MDU-KD"),(IF($O$3="RAB NON MDU","PLN KD",G22*F22)),0)</f>
        <v>0</v>
      </c>
      <c r="I22" s="307">
        <f t="shared" ref="I22:I33" ca="1" si="10">IF(D22="HDW",G22*F22,0)</f>
        <v>0</v>
      </c>
      <c r="J22" s="307">
        <f t="shared" ref="J22:J33" ca="1" si="11">IF(D22="JASA",G22*F22,0)</f>
        <v>0</v>
      </c>
      <c r="K22" s="308">
        <f t="shared" ref="K22:K33" ca="1" si="12">SUM(H22:J22)</f>
        <v>0</v>
      </c>
      <c r="L22" s="314"/>
      <c r="M22" s="288" t="e">
        <f>IF(AND(F22&gt;0,#REF!=0),"",IF(AND(ISBLANK(F22)=FALSE,K22=0),"WARNING",""))</f>
        <v>#REF!</v>
      </c>
      <c r="N22" s="314"/>
      <c r="O22" s="309"/>
      <c r="P22" s="309"/>
      <c r="Q22" s="290"/>
      <c r="R22" s="282"/>
      <c r="S22" s="310"/>
      <c r="T22" s="287"/>
      <c r="U22" s="287"/>
      <c r="V22" s="287"/>
    </row>
    <row r="23" spans="1:22" s="315" customFormat="1" ht="30">
      <c r="A23" s="282"/>
      <c r="B23" s="316">
        <v>1</v>
      </c>
      <c r="C23" s="317" t="s">
        <v>1631</v>
      </c>
      <c r="D23" s="304" t="str">
        <f ca="1">IF(ISERROR(OFFSET('HARGA SATUAN'!$D$6,MATCH(RAB!C23,'HARGA SATUAN'!$C$7:$C$1495,0),0)),"",OFFSET('HARGA SATUAN'!$D$6,MATCH(RAB!C23,'HARGA SATUAN'!$C$7:$C$1495,0),0))</f>
        <v>MDU-KD</v>
      </c>
      <c r="E23" s="305" t="str">
        <f ca="1">IF(B23="+","Unit",IF(ISERROR(OFFSET('HARGA SATUAN'!$E$6,MATCH(RAB!C23,'HARGA SATUAN'!$C$7:$C$1495,0),0)),"",OFFSET('HARGA SATUAN'!$E$6,MATCH(RAB!C23,'HARGA SATUAN'!$C$7:$C$1495,0),0)))</f>
        <v>Set</v>
      </c>
      <c r="F23" s="495">
        <f>F22*1</f>
        <v>2</v>
      </c>
      <c r="G23" s="306">
        <f ca="1">IF(ISERROR(OFFSET('HARGA SATUAN'!$I$6,MATCH(RAB!C23,'HARGA SATUAN'!$C$7:$C$1495,0),0)),0,OFFSET('HARGA SATUAN'!$I$6,MATCH(RAB!C23,'HARGA SATUAN'!$C$7:$C$1495,0),0))</f>
        <v>205700</v>
      </c>
      <c r="H23" s="307">
        <f t="shared" ca="1" si="9"/>
        <v>411400</v>
      </c>
      <c r="I23" s="307">
        <f t="shared" ca="1" si="10"/>
        <v>0</v>
      </c>
      <c r="J23" s="307">
        <f t="shared" ca="1" si="11"/>
        <v>0</v>
      </c>
      <c r="K23" s="308">
        <f t="shared" ca="1" si="12"/>
        <v>411400</v>
      </c>
      <c r="L23" s="314"/>
      <c r="M23" s="288" t="str">
        <f t="shared" ca="1" si="8"/>
        <v/>
      </c>
      <c r="N23" s="314"/>
      <c r="O23" s="309"/>
      <c r="P23" s="309"/>
      <c r="Q23" s="290"/>
      <c r="R23" s="282"/>
      <c r="S23" s="310"/>
      <c r="T23" s="287"/>
      <c r="U23" s="287"/>
      <c r="V23" s="287"/>
    </row>
    <row r="24" spans="1:22" s="315" customFormat="1">
      <c r="A24" s="282"/>
      <c r="B24" s="316">
        <v>2</v>
      </c>
      <c r="C24" s="317" t="s">
        <v>152</v>
      </c>
      <c r="D24" s="304" t="str">
        <f ca="1">IF(ISERROR(OFFSET('HARGA SATUAN'!$D$6,MATCH(RAB!C24,'HARGA SATUAN'!$C$7:$C$1495,0),0)),"",OFFSET('HARGA SATUAN'!$D$6,MATCH(RAB!C24,'HARGA SATUAN'!$C$7:$C$1495,0),0))</f>
        <v>HDW</v>
      </c>
      <c r="E24" s="305" t="str">
        <f ca="1">IF(B24="+","Unit",IF(ISERROR(OFFSET('HARGA SATUAN'!$E$6,MATCH(RAB!C24,'HARGA SATUAN'!$C$7:$C$1495,0),0)),"",OFFSET('HARGA SATUAN'!$E$6,MATCH(RAB!C24,'HARGA SATUAN'!$C$7:$C$1495,0),0)))</f>
        <v>Mtr</v>
      </c>
      <c r="F24" s="495">
        <f>F22*1</f>
        <v>2</v>
      </c>
      <c r="G24" s="306">
        <f ca="1">IF(ISERROR(OFFSET('HARGA SATUAN'!$I$6,MATCH(RAB!C24,'HARGA SATUAN'!$C$7:$C$1495,0),0)),0,OFFSET('HARGA SATUAN'!$I$6,MATCH(RAB!C24,'HARGA SATUAN'!$C$7:$C$1495,0),0))</f>
        <v>7789</v>
      </c>
      <c r="H24" s="307">
        <f t="shared" ca="1" si="9"/>
        <v>0</v>
      </c>
      <c r="I24" s="307">
        <f t="shared" ca="1" si="10"/>
        <v>15578</v>
      </c>
      <c r="J24" s="307">
        <f t="shared" ca="1" si="11"/>
        <v>0</v>
      </c>
      <c r="K24" s="308">
        <f t="shared" ca="1" si="12"/>
        <v>15578</v>
      </c>
      <c r="L24" s="314"/>
      <c r="M24" s="288" t="str">
        <f t="shared" ca="1" si="8"/>
        <v/>
      </c>
      <c r="N24" s="314"/>
      <c r="O24" s="309"/>
      <c r="P24" s="309"/>
      <c r="Q24" s="290"/>
      <c r="R24" s="282"/>
      <c r="S24" s="310"/>
      <c r="T24" s="287"/>
      <c r="U24" s="287"/>
      <c r="V24" s="287"/>
    </row>
    <row r="25" spans="1:22" s="315" customFormat="1">
      <c r="A25" s="282"/>
      <c r="B25" s="316">
        <v>3</v>
      </c>
      <c r="C25" s="317" t="s">
        <v>179</v>
      </c>
      <c r="D25" s="304" t="str">
        <f ca="1">IF(ISERROR(OFFSET('HARGA SATUAN'!$D$6,MATCH(RAB!C25,'HARGA SATUAN'!$C$7:$C$1495,0),0)),"",OFFSET('HARGA SATUAN'!$D$6,MATCH(RAB!C25,'HARGA SATUAN'!$C$7:$C$1495,0),0))</f>
        <v>HDW</v>
      </c>
      <c r="E25" s="305" t="str">
        <f ca="1">IF(B25="+","Unit",IF(ISERROR(OFFSET('HARGA SATUAN'!$E$6,MATCH(RAB!C25,'HARGA SATUAN'!$C$7:$C$1495,0),0)),"",OFFSET('HARGA SATUAN'!$E$6,MATCH(RAB!C25,'HARGA SATUAN'!$C$7:$C$1495,0),0)))</f>
        <v>Bh</v>
      </c>
      <c r="F25" s="495">
        <f>F22*1</f>
        <v>2</v>
      </c>
      <c r="G25" s="306">
        <f ca="1">IF(ISERROR(OFFSET('HARGA SATUAN'!$I$6,MATCH(RAB!C25,'HARGA SATUAN'!$C$7:$C$1495,0),0)),0,OFFSET('HARGA SATUAN'!$I$6,MATCH(RAB!C25,'HARGA SATUAN'!$C$7:$C$1495,0),0))</f>
        <v>15500</v>
      </c>
      <c r="H25" s="307">
        <f t="shared" ca="1" si="9"/>
        <v>0</v>
      </c>
      <c r="I25" s="307">
        <f t="shared" ca="1" si="10"/>
        <v>31000</v>
      </c>
      <c r="J25" s="307">
        <f t="shared" ca="1" si="11"/>
        <v>0</v>
      </c>
      <c r="K25" s="308">
        <f t="shared" ca="1" si="12"/>
        <v>31000</v>
      </c>
      <c r="L25" s="314"/>
      <c r="M25" s="288" t="str">
        <f t="shared" ca="1" si="8"/>
        <v/>
      </c>
      <c r="N25" s="314"/>
      <c r="O25" s="309"/>
      <c r="P25" s="309"/>
      <c r="Q25" s="290"/>
      <c r="R25" s="282"/>
      <c r="S25" s="310"/>
      <c r="T25" s="287"/>
      <c r="U25" s="287"/>
      <c r="V25" s="287"/>
    </row>
    <row r="26" spans="1:22" s="315" customFormat="1">
      <c r="A26" s="282"/>
      <c r="B26" s="316">
        <v>4</v>
      </c>
      <c r="C26" s="317" t="s">
        <v>217</v>
      </c>
      <c r="D26" s="304" t="str">
        <f ca="1">IF(ISERROR(OFFSET('HARGA SATUAN'!$D$6,MATCH(RAB!C26,'HARGA SATUAN'!$C$7:$C$1495,0),0)),"",OFFSET('HARGA SATUAN'!$D$6,MATCH(RAB!C26,'HARGA SATUAN'!$C$7:$C$1495,0),0))</f>
        <v>HDW</v>
      </c>
      <c r="E26" s="305" t="str">
        <f ca="1">IF(B26="+","Unit",IF(ISERROR(OFFSET('HARGA SATUAN'!$E$6,MATCH(RAB!C26,'HARGA SATUAN'!$C$7:$C$1495,0),0)),"",OFFSET('HARGA SATUAN'!$E$6,MATCH(RAB!C26,'HARGA SATUAN'!$C$7:$C$1495,0),0)))</f>
        <v>Bh</v>
      </c>
      <c r="F26" s="495">
        <f>F22*2</f>
        <v>4</v>
      </c>
      <c r="G26" s="306">
        <f ca="1">IF(ISERROR(OFFSET('HARGA SATUAN'!$I$6,MATCH(RAB!C26,'HARGA SATUAN'!$C$7:$C$1495,0),0)),0,OFFSET('HARGA SATUAN'!$I$6,MATCH(RAB!C26,'HARGA SATUAN'!$C$7:$C$1495,0),0))</f>
        <v>11400</v>
      </c>
      <c r="H26" s="307">
        <f t="shared" ca="1" si="9"/>
        <v>0</v>
      </c>
      <c r="I26" s="307">
        <f t="shared" ca="1" si="10"/>
        <v>45600</v>
      </c>
      <c r="J26" s="307">
        <f t="shared" ca="1" si="11"/>
        <v>0</v>
      </c>
      <c r="K26" s="308">
        <f t="shared" ca="1" si="12"/>
        <v>45600</v>
      </c>
      <c r="L26" s="314"/>
      <c r="M26" s="288" t="str">
        <f t="shared" ca="1" si="8"/>
        <v/>
      </c>
      <c r="N26" s="314"/>
      <c r="O26" s="309"/>
      <c r="P26" s="309"/>
      <c r="Q26" s="290"/>
      <c r="R26" s="282"/>
      <c r="S26" s="310"/>
      <c r="T26" s="287"/>
      <c r="U26" s="287"/>
      <c r="V26" s="287"/>
    </row>
    <row r="27" spans="1:22" s="315" customFormat="1">
      <c r="A27" s="282"/>
      <c r="B27" s="316">
        <v>5</v>
      </c>
      <c r="C27" s="317" t="s">
        <v>218</v>
      </c>
      <c r="D27" s="304" t="str">
        <f ca="1">IF(ISERROR(OFFSET('HARGA SATUAN'!$D$6,MATCH(RAB!C27,'HARGA SATUAN'!$C$7:$C$1495,0),0)),"",OFFSET('HARGA SATUAN'!$D$6,MATCH(RAB!C27,'HARGA SATUAN'!$C$7:$C$1495,0),0))</f>
        <v>HDW</v>
      </c>
      <c r="E27" s="305" t="str">
        <f ca="1">IF(B27="+","Unit",IF(ISERROR(OFFSET('HARGA SATUAN'!$E$6,MATCH(RAB!C27,'HARGA SATUAN'!$C$7:$C$1495,0),0)),"",OFFSET('HARGA SATUAN'!$E$6,MATCH(RAB!C27,'HARGA SATUAN'!$C$7:$C$1495,0),0)))</f>
        <v>Bh</v>
      </c>
      <c r="F27" s="495">
        <f>F22*2</f>
        <v>4</v>
      </c>
      <c r="G27" s="306">
        <f ca="1">IF(ISERROR(OFFSET('HARGA SATUAN'!$I$6,MATCH(RAB!C27,'HARGA SATUAN'!$C$7:$C$1495,0),0)),0,OFFSET('HARGA SATUAN'!$I$6,MATCH(RAB!C27,'HARGA SATUAN'!$C$7:$C$1495,0),0))</f>
        <v>29600</v>
      </c>
      <c r="H27" s="307">
        <f t="shared" ca="1" si="9"/>
        <v>0</v>
      </c>
      <c r="I27" s="307">
        <f t="shared" ca="1" si="10"/>
        <v>118400</v>
      </c>
      <c r="J27" s="307">
        <f t="shared" ca="1" si="11"/>
        <v>0</v>
      </c>
      <c r="K27" s="308">
        <f t="shared" ca="1" si="12"/>
        <v>118400</v>
      </c>
      <c r="L27" s="314"/>
      <c r="M27" s="288" t="str">
        <f t="shared" ca="1" si="8"/>
        <v/>
      </c>
      <c r="N27" s="314"/>
      <c r="O27" s="309"/>
      <c r="P27" s="309"/>
      <c r="Q27" s="290"/>
      <c r="R27" s="282"/>
      <c r="S27" s="310"/>
      <c r="T27" s="287"/>
      <c r="U27" s="287"/>
      <c r="V27" s="287"/>
    </row>
    <row r="28" spans="1:22" s="315" customFormat="1">
      <c r="A28" s="282"/>
      <c r="B28" s="316">
        <v>6</v>
      </c>
      <c r="C28" s="317" t="s">
        <v>223</v>
      </c>
      <c r="D28" s="304" t="str">
        <f ca="1">IF(ISERROR(OFFSET('HARGA SATUAN'!$D$6,MATCH(RAB!C28,'HARGA SATUAN'!$C$7:$C$1495,0),0)),"",OFFSET('HARGA SATUAN'!$D$6,MATCH(RAB!C28,'HARGA SATUAN'!$C$7:$C$1495,0),0))</f>
        <v>HDW</v>
      </c>
      <c r="E28" s="305" t="str">
        <f ca="1">IF(B28="+","Unit",IF(ISERROR(OFFSET('HARGA SATUAN'!$E$6,MATCH(RAB!C28,'HARGA SATUAN'!$C$7:$C$1495,0),0)),"",OFFSET('HARGA SATUAN'!$E$6,MATCH(RAB!C28,'HARGA SATUAN'!$C$7:$C$1495,0),0)))</f>
        <v>Bh</v>
      </c>
      <c r="F28" s="495">
        <f>F22*2</f>
        <v>4</v>
      </c>
      <c r="G28" s="306">
        <f ca="1">IF(ISERROR(OFFSET('HARGA SATUAN'!$I$6,MATCH(RAB!C28,'HARGA SATUAN'!$C$7:$C$1495,0),0)),0,OFFSET('HARGA SATUAN'!$I$6,MATCH(RAB!C28,'HARGA SATUAN'!$C$7:$C$1495,0),0))</f>
        <v>27815</v>
      </c>
      <c r="H28" s="307">
        <f t="shared" ca="1" si="9"/>
        <v>0</v>
      </c>
      <c r="I28" s="307">
        <f t="shared" ca="1" si="10"/>
        <v>111260</v>
      </c>
      <c r="J28" s="307">
        <f t="shared" ca="1" si="11"/>
        <v>0</v>
      </c>
      <c r="K28" s="308">
        <f t="shared" ca="1" si="12"/>
        <v>111260</v>
      </c>
      <c r="L28" s="314"/>
      <c r="M28" s="288" t="str">
        <f t="shared" ca="1" si="8"/>
        <v/>
      </c>
      <c r="N28" s="314"/>
      <c r="O28" s="309"/>
      <c r="P28" s="309"/>
      <c r="Q28" s="290"/>
      <c r="R28" s="282"/>
      <c r="S28" s="310"/>
      <c r="T28" s="287"/>
      <c r="U28" s="287"/>
      <c r="V28" s="287"/>
    </row>
    <row r="29" spans="1:22" s="315" customFormat="1">
      <c r="A29" s="282"/>
      <c r="B29" s="316">
        <v>7</v>
      </c>
      <c r="C29" s="317" t="s">
        <v>27</v>
      </c>
      <c r="D29" s="304" t="str">
        <f ca="1">IF(ISERROR(OFFSET('HARGA SATUAN'!$D$6,MATCH(RAB!C29,'HARGA SATUAN'!$C$7:$C$1495,0),0)),"",OFFSET('HARGA SATUAN'!$D$6,MATCH(RAB!C29,'HARGA SATUAN'!$C$7:$C$1495,0),0))</f>
        <v>HDW</v>
      </c>
      <c r="E29" s="305" t="str">
        <f ca="1">IF(B29="+","Unit",IF(ISERROR(OFFSET('HARGA SATUAN'!$E$6,MATCH(RAB!C29,'HARGA SATUAN'!$C$7:$C$1495,0),0)),"",OFFSET('HARGA SATUAN'!$E$6,MATCH(RAB!C29,'HARGA SATUAN'!$C$7:$C$1495,0),0)))</f>
        <v>Bh</v>
      </c>
      <c r="F29" s="495">
        <f>F22*1</f>
        <v>2</v>
      </c>
      <c r="G29" s="306">
        <f ca="1">IF(ISERROR(OFFSET('HARGA SATUAN'!$I$6,MATCH(RAB!C29,'HARGA SATUAN'!$C$7:$C$1495,0),0)),0,OFFSET('HARGA SATUAN'!$I$6,MATCH(RAB!C29,'HARGA SATUAN'!$C$7:$C$1495,0),0))</f>
        <v>16000</v>
      </c>
      <c r="H29" s="307">
        <f t="shared" ca="1" si="9"/>
        <v>0</v>
      </c>
      <c r="I29" s="307">
        <f t="shared" ca="1" si="10"/>
        <v>32000</v>
      </c>
      <c r="J29" s="307">
        <f t="shared" ca="1" si="11"/>
        <v>0</v>
      </c>
      <c r="K29" s="308">
        <f t="shared" ca="1" si="12"/>
        <v>32000</v>
      </c>
      <c r="L29" s="314"/>
      <c r="M29" s="288" t="str">
        <f t="shared" ca="1" si="8"/>
        <v/>
      </c>
      <c r="N29" s="314"/>
      <c r="O29" s="309"/>
      <c r="P29" s="309"/>
      <c r="Q29" s="290"/>
      <c r="R29" s="282"/>
      <c r="S29" s="310"/>
      <c r="T29" s="287"/>
      <c r="U29" s="287"/>
      <c r="V29" s="287"/>
    </row>
    <row r="30" spans="1:22" s="315" customFormat="1">
      <c r="A30" s="282"/>
      <c r="B30" s="316">
        <v>8</v>
      </c>
      <c r="C30" s="317" t="s">
        <v>265</v>
      </c>
      <c r="D30" s="304" t="str">
        <f ca="1">IF(ISERROR(OFFSET('HARGA SATUAN'!$D$6,MATCH(RAB!C30,'HARGA SATUAN'!$C$7:$C$1495,0),0)),"",OFFSET('HARGA SATUAN'!$D$6,MATCH(RAB!C30,'HARGA SATUAN'!$C$7:$C$1495,0),0))</f>
        <v>HDW</v>
      </c>
      <c r="E30" s="305" t="str">
        <f ca="1">IF(B30="+","Unit",IF(ISERROR(OFFSET('HARGA SATUAN'!$E$6,MATCH(RAB!C30,'HARGA SATUAN'!$C$7:$C$1495,0),0)),"",OFFSET('HARGA SATUAN'!$E$6,MATCH(RAB!C30,'HARGA SATUAN'!$C$7:$C$1495,0),0)))</f>
        <v>Bh</v>
      </c>
      <c r="F30" s="495">
        <f>F22*1</f>
        <v>2</v>
      </c>
      <c r="G30" s="306">
        <f ca="1">IF(ISERROR(OFFSET('HARGA SATUAN'!$I$6,MATCH(RAB!C30,'HARGA SATUAN'!$C$7:$C$1495,0),0)),0,OFFSET('HARGA SATUAN'!$I$6,MATCH(RAB!C30,'HARGA SATUAN'!$C$7:$C$1495,0),0))</f>
        <v>33501.866666666669</v>
      </c>
      <c r="H30" s="307">
        <f t="shared" ca="1" si="9"/>
        <v>0</v>
      </c>
      <c r="I30" s="307">
        <f t="shared" ca="1" si="10"/>
        <v>67003.733333333337</v>
      </c>
      <c r="J30" s="307">
        <f t="shared" ca="1" si="11"/>
        <v>0</v>
      </c>
      <c r="K30" s="308">
        <f t="shared" ca="1" si="12"/>
        <v>67003.733333333337</v>
      </c>
      <c r="L30" s="314"/>
      <c r="M30" s="288" t="str">
        <f t="shared" ca="1" si="8"/>
        <v/>
      </c>
      <c r="N30" s="314"/>
      <c r="O30" s="309"/>
      <c r="P30" s="309"/>
      <c r="Q30" s="290"/>
      <c r="R30" s="282"/>
      <c r="S30" s="310"/>
      <c r="T30" s="287"/>
      <c r="U30" s="287"/>
      <c r="V30" s="287"/>
    </row>
    <row r="31" spans="1:22" s="315" customFormat="1">
      <c r="A31" s="282"/>
      <c r="B31" s="316">
        <v>9</v>
      </c>
      <c r="C31" s="317" t="s">
        <v>26</v>
      </c>
      <c r="D31" s="304" t="str">
        <f ca="1">IF(ISERROR(OFFSET('HARGA SATUAN'!$D$6,MATCH(RAB!C31,'HARGA SATUAN'!$C$7:$C$1495,0),0)),"",OFFSET('HARGA SATUAN'!$D$6,MATCH(RAB!C31,'HARGA SATUAN'!$C$7:$C$1495,0),0))</f>
        <v>HDW</v>
      </c>
      <c r="E31" s="305" t="str">
        <f ca="1">IF(B31="+","Unit",IF(ISERROR(OFFSET('HARGA SATUAN'!$E$6,MATCH(RAB!C31,'HARGA SATUAN'!$C$7:$C$1495,0),0)),"",OFFSET('HARGA SATUAN'!$E$6,MATCH(RAB!C31,'HARGA SATUAN'!$C$7:$C$1495,0),0)))</f>
        <v>Bh</v>
      </c>
      <c r="F31" s="495">
        <f>F22*2</f>
        <v>4</v>
      </c>
      <c r="G31" s="306">
        <f ca="1">IF(ISERROR(OFFSET('HARGA SATUAN'!$I$6,MATCH(RAB!C31,'HARGA SATUAN'!$C$7:$C$1495,0),0)),0,OFFSET('HARGA SATUAN'!$I$6,MATCH(RAB!C31,'HARGA SATUAN'!$C$7:$C$1495,0),0))</f>
        <v>2500</v>
      </c>
      <c r="H31" s="307">
        <f t="shared" ca="1" si="9"/>
        <v>0</v>
      </c>
      <c r="I31" s="307">
        <f t="shared" ca="1" si="10"/>
        <v>10000</v>
      </c>
      <c r="J31" s="307">
        <f t="shared" ca="1" si="11"/>
        <v>0</v>
      </c>
      <c r="K31" s="308">
        <f t="shared" ca="1" si="12"/>
        <v>10000</v>
      </c>
      <c r="L31" s="314"/>
      <c r="M31" s="288" t="str">
        <f t="shared" ca="1" si="8"/>
        <v/>
      </c>
      <c r="N31" s="314"/>
      <c r="O31" s="309"/>
      <c r="P31" s="309"/>
      <c r="Q31" s="290"/>
      <c r="R31" s="282"/>
      <c r="S31" s="310"/>
      <c r="T31" s="287"/>
      <c r="U31" s="287"/>
      <c r="V31" s="287"/>
    </row>
    <row r="32" spans="1:22" s="315" customFormat="1">
      <c r="A32" s="282"/>
      <c r="B32" s="316">
        <v>10</v>
      </c>
      <c r="C32" s="317" t="s">
        <v>655</v>
      </c>
      <c r="D32" s="304" t="str">
        <f ca="1">IF(ISERROR(OFFSET('HARGA SATUAN'!$D$6,MATCH(RAB!C32,'HARGA SATUAN'!$C$7:$C$1495,0),0)),"",OFFSET('HARGA SATUAN'!$D$6,MATCH(RAB!C32,'HARGA SATUAN'!$C$7:$C$1495,0),0))</f>
        <v>JASA</v>
      </c>
      <c r="E32" s="305" t="str">
        <f ca="1">IF(B32="+","Unit",IF(ISERROR(OFFSET('HARGA SATUAN'!$E$6,MATCH(RAB!C32,'HARGA SATUAN'!$C$7:$C$1495,0),0)),"",OFFSET('HARGA SATUAN'!$E$6,MATCH(RAB!C32,'HARGA SATUAN'!$C$7:$C$1495,0),0)))</f>
        <v>Unit</v>
      </c>
      <c r="F32" s="495">
        <f>F22*1</f>
        <v>2</v>
      </c>
      <c r="G32" s="306">
        <f ca="1">IF(ISERROR(OFFSET('HARGA SATUAN'!$I$6,MATCH(RAB!C32,'HARGA SATUAN'!$C$7:$C$1495,0),0)),0,OFFSET('HARGA SATUAN'!$I$6,MATCH(RAB!C32,'HARGA SATUAN'!$C$7:$C$1495,0),0))</f>
        <v>50100</v>
      </c>
      <c r="H32" s="307">
        <f t="shared" ca="1" si="9"/>
        <v>0</v>
      </c>
      <c r="I32" s="307">
        <f t="shared" ca="1" si="10"/>
        <v>0</v>
      </c>
      <c r="J32" s="307">
        <f t="shared" ca="1" si="11"/>
        <v>100200</v>
      </c>
      <c r="K32" s="308">
        <f t="shared" ca="1" si="12"/>
        <v>100200</v>
      </c>
      <c r="L32" s="314"/>
      <c r="M32" s="288" t="str">
        <f t="shared" ca="1" si="8"/>
        <v/>
      </c>
      <c r="N32" s="314"/>
      <c r="O32" s="309"/>
      <c r="P32" s="309"/>
      <c r="Q32" s="290"/>
      <c r="R32" s="282"/>
      <c r="S32" s="310"/>
      <c r="T32" s="287"/>
      <c r="U32" s="287"/>
      <c r="V32" s="287"/>
    </row>
    <row r="33" spans="1:22" s="315" customFormat="1">
      <c r="A33" s="282"/>
      <c r="B33" s="316"/>
      <c r="C33" s="317"/>
      <c r="D33" s="304" t="str">
        <f ca="1">IF(ISERROR(OFFSET('HARGA SATUAN'!$D$6,MATCH(RAB!C33,'HARGA SATUAN'!$C$7:$C$1495,0),0)),"",OFFSET('HARGA SATUAN'!$D$6,MATCH(RAB!C33,'HARGA SATUAN'!$C$7:$C$1495,0),0))</f>
        <v/>
      </c>
      <c r="E33" s="305" t="str">
        <f ca="1">IF(B33="+","Unit",IF(ISERROR(OFFSET('HARGA SATUAN'!$E$6,MATCH(RAB!C33,'HARGA SATUAN'!$C$7:$C$1495,0),0)),"",OFFSET('HARGA SATUAN'!$E$6,MATCH(RAB!C33,'HARGA SATUAN'!$C$7:$C$1495,0),0)))</f>
        <v/>
      </c>
      <c r="F33" s="495"/>
      <c r="G33" s="306">
        <f ca="1">IF(ISERROR(OFFSET('HARGA SATUAN'!$I$6,MATCH(RAB!C33,'HARGA SATUAN'!$C$7:$C$1495,0),0)),0,OFFSET('HARGA SATUAN'!$I$6,MATCH(RAB!C33,'HARGA SATUAN'!$C$7:$C$1495,0),0))</f>
        <v>0</v>
      </c>
      <c r="H33" s="307">
        <f t="shared" ca="1" si="9"/>
        <v>0</v>
      </c>
      <c r="I33" s="307">
        <f t="shared" ca="1" si="10"/>
        <v>0</v>
      </c>
      <c r="J33" s="307">
        <f t="shared" ca="1" si="11"/>
        <v>0</v>
      </c>
      <c r="K33" s="308">
        <f t="shared" ca="1" si="12"/>
        <v>0</v>
      </c>
      <c r="L33" s="314"/>
      <c r="M33" s="288" t="str">
        <f t="shared" ca="1" si="8"/>
        <v/>
      </c>
      <c r="N33" s="314"/>
      <c r="O33" s="309"/>
      <c r="P33" s="309"/>
      <c r="Q33" s="290"/>
      <c r="R33" s="282"/>
      <c r="S33" s="310"/>
      <c r="T33" s="287"/>
      <c r="U33" s="287"/>
      <c r="V33" s="287"/>
    </row>
    <row r="34" spans="1:22" s="315" customFormat="1">
      <c r="A34" s="282"/>
      <c r="B34" s="316" t="s">
        <v>1035</v>
      </c>
      <c r="C34" s="317" t="s">
        <v>1618</v>
      </c>
      <c r="D34" s="304" t="str">
        <f ca="1">IF(ISERROR(OFFSET('HARGA SATUAN'!$D$6,MATCH(RAB!C34,'HARGA SATUAN'!$C$7:$C$1495,0),0)),"",OFFSET('HARGA SATUAN'!$D$6,MATCH(RAB!C34,'HARGA SATUAN'!$C$7:$C$1495,0),0))</f>
        <v/>
      </c>
      <c r="E34" s="305" t="str">
        <f ca="1">IF(B34="+","Unit",IF(ISERROR(OFFSET('HARGA SATUAN'!$E$6,MATCH(RAB!C34,'HARGA SATUAN'!$C$7:$C$1495,0),0)),"",OFFSET('HARGA SATUAN'!$E$6,MATCH(RAB!C34,'HARGA SATUAN'!$C$7:$C$1495,0),0)))</f>
        <v>Unit</v>
      </c>
      <c r="F34" s="415">
        <v>2</v>
      </c>
      <c r="G34" s="306">
        <f ca="1">IF(ISERROR(OFFSET('HARGA SATUAN'!$I$6,MATCH(RAB!C34,'HARGA SATUAN'!$C$7:$C$1495,0),0)),0,OFFSET('HARGA SATUAN'!$I$6,MATCH(RAB!C34,'HARGA SATUAN'!$C$7:$C$1495,0),0))</f>
        <v>0</v>
      </c>
      <c r="H34" s="307">
        <f t="shared" ca="1" si="0"/>
        <v>0</v>
      </c>
      <c r="I34" s="307">
        <f t="shared" ca="1" si="1"/>
        <v>0</v>
      </c>
      <c r="J34" s="307">
        <f t="shared" ca="1" si="2"/>
        <v>0</v>
      </c>
      <c r="K34" s="308">
        <f t="shared" ca="1" si="3"/>
        <v>0</v>
      </c>
      <c r="L34" s="314"/>
      <c r="M34" s="288" t="str">
        <f t="shared" si="8"/>
        <v/>
      </c>
      <c r="N34" s="314"/>
      <c r="O34" s="309"/>
      <c r="P34" s="309"/>
      <c r="Q34" s="290"/>
      <c r="R34" s="282"/>
      <c r="S34" s="310"/>
      <c r="T34" s="287"/>
      <c r="U34" s="287"/>
      <c r="V34" s="287"/>
    </row>
    <row r="35" spans="1:22" s="315" customFormat="1" ht="30">
      <c r="A35" s="282"/>
      <c r="B35" s="316">
        <v>1</v>
      </c>
      <c r="C35" s="317" t="s">
        <v>1631</v>
      </c>
      <c r="D35" s="304" t="str">
        <f ca="1">IF(ISERROR(OFFSET('HARGA SATUAN'!$D$6,MATCH(RAB!C35,'HARGA SATUAN'!$C$7:$C$1495,0),0)),"",OFFSET('HARGA SATUAN'!$D$6,MATCH(RAB!C35,'HARGA SATUAN'!$C$7:$C$1495,0),0))</f>
        <v>MDU-KD</v>
      </c>
      <c r="E35" s="305" t="str">
        <f ca="1">IF(B35="+","Unit",IF(ISERROR(OFFSET('HARGA SATUAN'!$E$6,MATCH(RAB!C35,'HARGA SATUAN'!$C$7:$C$1495,0),0)),"",OFFSET('HARGA SATUAN'!$E$6,MATCH(RAB!C35,'HARGA SATUAN'!$C$7:$C$1495,0),0)))</f>
        <v>Set</v>
      </c>
      <c r="F35" s="495">
        <f>F34*1</f>
        <v>2</v>
      </c>
      <c r="G35" s="306">
        <f ca="1">IF(ISERROR(OFFSET('HARGA SATUAN'!$I$6,MATCH(RAB!C35,'HARGA SATUAN'!$C$7:$C$1495,0),0)),0,OFFSET('HARGA SATUAN'!$I$6,MATCH(RAB!C35,'HARGA SATUAN'!$C$7:$C$1495,0),0))</f>
        <v>205700</v>
      </c>
      <c r="H35" s="307">
        <f t="shared" ref="H35" ca="1" si="13">IF(OR(D35="MDU",D35="MDU-KD"),(IF($O$3="RAB NON MDU","PLN KD",G35*F35)),0)</f>
        <v>411400</v>
      </c>
      <c r="I35" s="307">
        <f t="shared" ref="I35" ca="1" si="14">IF(D35="HDW",G35*F35,0)</f>
        <v>0</v>
      </c>
      <c r="J35" s="307">
        <f t="shared" ref="J35" ca="1" si="15">IF(D35="JASA",G35*F35,0)</f>
        <v>0</v>
      </c>
      <c r="K35" s="308">
        <f t="shared" ref="K35" ca="1" si="16">SUM(H35:J35)</f>
        <v>411400</v>
      </c>
      <c r="L35" s="314"/>
      <c r="M35" s="288" t="str">
        <f t="shared" ca="1" si="8"/>
        <v/>
      </c>
      <c r="N35" s="314"/>
      <c r="O35" s="309"/>
      <c r="P35" s="309"/>
      <c r="Q35" s="290"/>
      <c r="R35" s="282"/>
      <c r="S35" s="310"/>
      <c r="T35" s="287"/>
      <c r="U35" s="287"/>
      <c r="V35" s="287"/>
    </row>
    <row r="36" spans="1:22" s="315" customFormat="1">
      <c r="A36" s="282"/>
      <c r="B36" s="316">
        <v>2</v>
      </c>
      <c r="C36" s="317" t="s">
        <v>152</v>
      </c>
      <c r="D36" s="304" t="str">
        <f ca="1">IF(ISERROR(OFFSET('HARGA SATUAN'!$D$6,MATCH(RAB!C36,'HARGA SATUAN'!$C$7:$C$1495,0),0)),"",OFFSET('HARGA SATUAN'!$D$6,MATCH(RAB!C36,'HARGA SATUAN'!$C$7:$C$1495,0),0))</f>
        <v>HDW</v>
      </c>
      <c r="E36" s="305" t="str">
        <f ca="1">IF(B36="+","Unit",IF(ISERROR(OFFSET('HARGA SATUAN'!$E$6,MATCH(RAB!C36,'HARGA SATUAN'!$C$7:$C$1495,0),0)),"",OFFSET('HARGA SATUAN'!$E$6,MATCH(RAB!C36,'HARGA SATUAN'!$C$7:$C$1495,0),0)))</f>
        <v>Mtr</v>
      </c>
      <c r="F36" s="495">
        <f>F34*1</f>
        <v>2</v>
      </c>
      <c r="G36" s="306">
        <f ca="1">IF(ISERROR(OFFSET('HARGA SATUAN'!$I$6,MATCH(RAB!C36,'HARGA SATUAN'!$C$7:$C$1495,0),0)),0,OFFSET('HARGA SATUAN'!$I$6,MATCH(RAB!C36,'HARGA SATUAN'!$C$7:$C$1495,0),0))</f>
        <v>7789</v>
      </c>
      <c r="H36" s="307">
        <f t="shared" ca="1" si="0"/>
        <v>0</v>
      </c>
      <c r="I36" s="307">
        <f t="shared" ca="1" si="1"/>
        <v>15578</v>
      </c>
      <c r="J36" s="307">
        <f t="shared" ca="1" si="2"/>
        <v>0</v>
      </c>
      <c r="K36" s="308">
        <f t="shared" ca="1" si="3"/>
        <v>15578</v>
      </c>
      <c r="L36" s="314"/>
      <c r="M36" s="288" t="str">
        <f t="shared" ca="1" si="8"/>
        <v/>
      </c>
      <c r="N36" s="314"/>
      <c r="O36" s="309"/>
      <c r="P36" s="309"/>
      <c r="Q36" s="290"/>
      <c r="R36" s="282"/>
      <c r="S36" s="310"/>
      <c r="T36" s="287"/>
      <c r="U36" s="287"/>
      <c r="V36" s="287"/>
    </row>
    <row r="37" spans="1:22" s="315" customFormat="1">
      <c r="A37" s="282"/>
      <c r="B37" s="316">
        <v>3</v>
      </c>
      <c r="C37" s="317" t="s">
        <v>179</v>
      </c>
      <c r="D37" s="304" t="str">
        <f ca="1">IF(ISERROR(OFFSET('HARGA SATUAN'!$D$6,MATCH(RAB!C37,'HARGA SATUAN'!$C$7:$C$1495,0),0)),"",OFFSET('HARGA SATUAN'!$D$6,MATCH(RAB!C37,'HARGA SATUAN'!$C$7:$C$1495,0),0))</f>
        <v>HDW</v>
      </c>
      <c r="E37" s="305" t="str">
        <f ca="1">IF(B37="+","Unit",IF(ISERROR(OFFSET('HARGA SATUAN'!$E$6,MATCH(RAB!C37,'HARGA SATUAN'!$C$7:$C$1495,0),0)),"",OFFSET('HARGA SATUAN'!$E$6,MATCH(RAB!C37,'HARGA SATUAN'!$C$7:$C$1495,0),0)))</f>
        <v>Bh</v>
      </c>
      <c r="F37" s="495">
        <f>F34*1</f>
        <v>2</v>
      </c>
      <c r="G37" s="306">
        <f ca="1">IF(ISERROR(OFFSET('HARGA SATUAN'!$I$6,MATCH(RAB!C37,'HARGA SATUAN'!$C$7:$C$1495,0),0)),0,OFFSET('HARGA SATUAN'!$I$6,MATCH(RAB!C37,'HARGA SATUAN'!$C$7:$C$1495,0),0))</f>
        <v>15500</v>
      </c>
      <c r="H37" s="307">
        <f t="shared" ca="1" si="0"/>
        <v>0</v>
      </c>
      <c r="I37" s="307">
        <f t="shared" ca="1" si="1"/>
        <v>31000</v>
      </c>
      <c r="J37" s="307">
        <f t="shared" ca="1" si="2"/>
        <v>0</v>
      </c>
      <c r="K37" s="308">
        <f t="shared" ca="1" si="3"/>
        <v>31000</v>
      </c>
      <c r="L37" s="314"/>
      <c r="M37" s="288" t="str">
        <f t="shared" ca="1" si="8"/>
        <v/>
      </c>
      <c r="N37" s="314"/>
      <c r="O37" s="309"/>
      <c r="P37" s="309"/>
      <c r="Q37" s="290"/>
      <c r="R37" s="282"/>
      <c r="S37" s="310"/>
      <c r="T37" s="287"/>
      <c r="U37" s="287"/>
      <c r="V37" s="287"/>
    </row>
    <row r="38" spans="1:22" s="315" customFormat="1">
      <c r="A38" s="282"/>
      <c r="B38" s="316">
        <v>4</v>
      </c>
      <c r="C38" s="317" t="s">
        <v>184</v>
      </c>
      <c r="D38" s="304" t="str">
        <f ca="1">IF(ISERROR(OFFSET('HARGA SATUAN'!$D$6,MATCH(RAB!C38,'HARGA SATUAN'!$C$7:$C$1495,0),0)),"",OFFSET('HARGA SATUAN'!$D$6,MATCH(RAB!C38,'HARGA SATUAN'!$C$7:$C$1495,0),0))</f>
        <v>HDW</v>
      </c>
      <c r="E38" s="305" t="str">
        <f ca="1">IF(B38="+","Unit",IF(ISERROR(OFFSET('HARGA SATUAN'!$E$6,MATCH(RAB!C38,'HARGA SATUAN'!$C$7:$C$1495,0),0)),"",OFFSET('HARGA SATUAN'!$E$6,MATCH(RAB!C38,'HARGA SATUAN'!$C$7:$C$1495,0),0)))</f>
        <v>Bh</v>
      </c>
      <c r="F38" s="495">
        <f>F34*2</f>
        <v>4</v>
      </c>
      <c r="G38" s="306">
        <f ca="1">IF(ISERROR(OFFSET('HARGA SATUAN'!$I$6,MATCH(RAB!C38,'HARGA SATUAN'!$C$7:$C$1495,0),0)),0,OFFSET('HARGA SATUAN'!$I$6,MATCH(RAB!C38,'HARGA SATUAN'!$C$7:$C$1495,0),0))</f>
        <v>15900</v>
      </c>
      <c r="H38" s="307">
        <f t="shared" ca="1" si="0"/>
        <v>0</v>
      </c>
      <c r="I38" s="307">
        <f t="shared" ca="1" si="1"/>
        <v>63600</v>
      </c>
      <c r="J38" s="307">
        <f t="shared" ca="1" si="2"/>
        <v>0</v>
      </c>
      <c r="K38" s="308">
        <f t="shared" ca="1" si="3"/>
        <v>63600</v>
      </c>
      <c r="L38" s="314"/>
      <c r="M38" s="288" t="str">
        <f t="shared" ca="1" si="8"/>
        <v/>
      </c>
      <c r="N38" s="314"/>
      <c r="O38" s="309"/>
      <c r="P38" s="309"/>
      <c r="Q38" s="290"/>
      <c r="R38" s="282"/>
      <c r="S38" s="310"/>
      <c r="T38" s="287"/>
      <c r="U38" s="287"/>
      <c r="V38" s="287"/>
    </row>
    <row r="39" spans="1:22" s="315" customFormat="1">
      <c r="A39" s="282"/>
      <c r="B39" s="316">
        <v>5</v>
      </c>
      <c r="C39" s="317" t="s">
        <v>217</v>
      </c>
      <c r="D39" s="304" t="str">
        <f ca="1">IF(ISERROR(OFFSET('HARGA SATUAN'!$D$6,MATCH(RAB!C39,'HARGA SATUAN'!$C$7:$C$1495,0),0)),"",OFFSET('HARGA SATUAN'!$D$6,MATCH(RAB!C39,'HARGA SATUAN'!$C$7:$C$1495,0),0))</f>
        <v>HDW</v>
      </c>
      <c r="E39" s="305" t="str">
        <f ca="1">IF(B39="+","Unit",IF(ISERROR(OFFSET('HARGA SATUAN'!$E$6,MATCH(RAB!C39,'HARGA SATUAN'!$C$7:$C$1495,0),0)),"",OFFSET('HARGA SATUAN'!$E$6,MATCH(RAB!C39,'HARGA SATUAN'!$C$7:$C$1495,0),0)))</f>
        <v>Bh</v>
      </c>
      <c r="F39" s="495">
        <f>F34*1</f>
        <v>2</v>
      </c>
      <c r="G39" s="306">
        <f ca="1">IF(ISERROR(OFFSET('HARGA SATUAN'!$I$6,MATCH(RAB!C39,'HARGA SATUAN'!$C$7:$C$1495,0),0)),0,OFFSET('HARGA SATUAN'!$I$6,MATCH(RAB!C39,'HARGA SATUAN'!$C$7:$C$1495,0),0))</f>
        <v>11400</v>
      </c>
      <c r="H39" s="307">
        <f t="shared" ca="1" si="0"/>
        <v>0</v>
      </c>
      <c r="I39" s="307">
        <f t="shared" ca="1" si="1"/>
        <v>22800</v>
      </c>
      <c r="J39" s="307">
        <f t="shared" ca="1" si="2"/>
        <v>0</v>
      </c>
      <c r="K39" s="308">
        <f t="shared" ca="1" si="3"/>
        <v>22800</v>
      </c>
      <c r="L39" s="314"/>
      <c r="M39" s="288" t="str">
        <f t="shared" ca="1" si="8"/>
        <v/>
      </c>
      <c r="N39" s="314"/>
      <c r="O39" s="309"/>
      <c r="P39" s="309"/>
      <c r="Q39" s="290"/>
      <c r="R39" s="282"/>
      <c r="S39" s="310"/>
      <c r="T39" s="287"/>
      <c r="U39" s="287"/>
      <c r="V39" s="287"/>
    </row>
    <row r="40" spans="1:22" s="315" customFormat="1">
      <c r="A40" s="282"/>
      <c r="B40" s="316">
        <v>6</v>
      </c>
      <c r="C40" s="317" t="s">
        <v>218</v>
      </c>
      <c r="D40" s="304" t="str">
        <f ca="1">IF(ISERROR(OFFSET('HARGA SATUAN'!$D$6,MATCH(RAB!C40,'HARGA SATUAN'!$C$7:$C$1495,0),0)),"",OFFSET('HARGA SATUAN'!$D$6,MATCH(RAB!C40,'HARGA SATUAN'!$C$7:$C$1495,0),0))</f>
        <v>HDW</v>
      </c>
      <c r="E40" s="305" t="str">
        <f ca="1">IF(B40="+","Unit",IF(ISERROR(OFFSET('HARGA SATUAN'!$E$6,MATCH(RAB!C40,'HARGA SATUAN'!$C$7:$C$1495,0),0)),"",OFFSET('HARGA SATUAN'!$E$6,MATCH(RAB!C40,'HARGA SATUAN'!$C$7:$C$1495,0),0)))</f>
        <v>Bh</v>
      </c>
      <c r="F40" s="495">
        <f>F34*2</f>
        <v>4</v>
      </c>
      <c r="G40" s="306">
        <f ca="1">IF(ISERROR(OFFSET('HARGA SATUAN'!$I$6,MATCH(RAB!C40,'HARGA SATUAN'!$C$7:$C$1495,0),0)),0,OFFSET('HARGA SATUAN'!$I$6,MATCH(RAB!C40,'HARGA SATUAN'!$C$7:$C$1495,0),0))</f>
        <v>29600</v>
      </c>
      <c r="H40" s="307">
        <f t="shared" ca="1" si="0"/>
        <v>0</v>
      </c>
      <c r="I40" s="307">
        <f t="shared" ca="1" si="1"/>
        <v>118400</v>
      </c>
      <c r="J40" s="307">
        <f t="shared" ca="1" si="2"/>
        <v>0</v>
      </c>
      <c r="K40" s="308">
        <f t="shared" ca="1" si="3"/>
        <v>118400</v>
      </c>
      <c r="L40" s="314"/>
      <c r="M40" s="288" t="str">
        <f t="shared" ca="1" si="8"/>
        <v/>
      </c>
      <c r="N40" s="314"/>
      <c r="O40" s="309"/>
      <c r="P40" s="309"/>
      <c r="Q40" s="290"/>
      <c r="R40" s="282"/>
      <c r="S40" s="310"/>
      <c r="T40" s="287"/>
      <c r="U40" s="287"/>
      <c r="V40" s="287"/>
    </row>
    <row r="41" spans="1:22" s="315" customFormat="1">
      <c r="A41" s="282"/>
      <c r="B41" s="316">
        <v>7</v>
      </c>
      <c r="C41" s="317" t="s">
        <v>223</v>
      </c>
      <c r="D41" s="304" t="str">
        <f ca="1">IF(ISERROR(OFFSET('HARGA SATUAN'!$D$6,MATCH(RAB!C41,'HARGA SATUAN'!$C$7:$C$1495,0),0)),"",OFFSET('HARGA SATUAN'!$D$6,MATCH(RAB!C41,'HARGA SATUAN'!$C$7:$C$1495,0),0))</f>
        <v>HDW</v>
      </c>
      <c r="E41" s="305" t="str">
        <f ca="1">IF(B41="+","Unit",IF(ISERROR(OFFSET('HARGA SATUAN'!$E$6,MATCH(RAB!C41,'HARGA SATUAN'!$C$7:$C$1495,0),0)),"",OFFSET('HARGA SATUAN'!$E$6,MATCH(RAB!C41,'HARGA SATUAN'!$C$7:$C$1495,0),0)))</f>
        <v>Bh</v>
      </c>
      <c r="F41" s="495">
        <f>F34*1</f>
        <v>2</v>
      </c>
      <c r="G41" s="306">
        <f ca="1">IF(ISERROR(OFFSET('HARGA SATUAN'!$I$6,MATCH(RAB!C41,'HARGA SATUAN'!$C$7:$C$1495,0),0)),0,OFFSET('HARGA SATUAN'!$I$6,MATCH(RAB!C41,'HARGA SATUAN'!$C$7:$C$1495,0),0))</f>
        <v>27815</v>
      </c>
      <c r="H41" s="307">
        <f t="shared" ca="1" si="0"/>
        <v>0</v>
      </c>
      <c r="I41" s="307">
        <f t="shared" ca="1" si="1"/>
        <v>55630</v>
      </c>
      <c r="J41" s="307">
        <f t="shared" ca="1" si="2"/>
        <v>0</v>
      </c>
      <c r="K41" s="308">
        <f t="shared" ca="1" si="3"/>
        <v>55630</v>
      </c>
      <c r="L41" s="314"/>
      <c r="M41" s="288" t="str">
        <f t="shared" ca="1" si="8"/>
        <v/>
      </c>
      <c r="N41" s="314"/>
      <c r="O41" s="309"/>
      <c r="P41" s="309"/>
      <c r="Q41" s="290"/>
      <c r="R41" s="282"/>
      <c r="S41" s="310"/>
      <c r="T41" s="287"/>
      <c r="U41" s="287"/>
      <c r="V41" s="287"/>
    </row>
    <row r="42" spans="1:22" s="315" customFormat="1">
      <c r="A42" s="282"/>
      <c r="B42" s="316">
        <v>8</v>
      </c>
      <c r="C42" s="317" t="s">
        <v>25</v>
      </c>
      <c r="D42" s="304" t="str">
        <f ca="1">IF(ISERROR(OFFSET('HARGA SATUAN'!$D$6,MATCH(RAB!C42,'HARGA SATUAN'!$C$7:$C$1495,0),0)),"",OFFSET('HARGA SATUAN'!$D$6,MATCH(RAB!C42,'HARGA SATUAN'!$C$7:$C$1495,0),0))</f>
        <v>HDW</v>
      </c>
      <c r="E42" s="305" t="str">
        <f ca="1">IF(B42="+","Unit",IF(ISERROR(OFFSET('HARGA SATUAN'!$E$6,MATCH(RAB!C42,'HARGA SATUAN'!$C$7:$C$1495,0),0)),"",OFFSET('HARGA SATUAN'!$E$6,MATCH(RAB!C42,'HARGA SATUAN'!$C$7:$C$1495,0),0)))</f>
        <v>Bh</v>
      </c>
      <c r="F42" s="495">
        <f>F34*1</f>
        <v>2</v>
      </c>
      <c r="G42" s="306">
        <f ca="1">IF(ISERROR(OFFSET('HARGA SATUAN'!$I$6,MATCH(RAB!C42,'HARGA SATUAN'!$C$7:$C$1495,0),0)),0,OFFSET('HARGA SATUAN'!$I$6,MATCH(RAB!C42,'HARGA SATUAN'!$C$7:$C$1495,0),0))</f>
        <v>23936</v>
      </c>
      <c r="H42" s="307">
        <f t="shared" ca="1" si="0"/>
        <v>0</v>
      </c>
      <c r="I42" s="307">
        <f t="shared" ca="1" si="1"/>
        <v>47872</v>
      </c>
      <c r="J42" s="307">
        <f t="shared" ca="1" si="2"/>
        <v>0</v>
      </c>
      <c r="K42" s="308">
        <f t="shared" ca="1" si="3"/>
        <v>47872</v>
      </c>
      <c r="L42" s="314"/>
      <c r="M42" s="288" t="str">
        <f t="shared" ca="1" si="8"/>
        <v/>
      </c>
      <c r="N42" s="314"/>
      <c r="O42" s="309"/>
      <c r="P42" s="309"/>
      <c r="Q42" s="290"/>
      <c r="R42" s="282"/>
      <c r="S42" s="310"/>
      <c r="T42" s="287"/>
      <c r="U42" s="287"/>
      <c r="V42" s="287"/>
    </row>
    <row r="43" spans="1:22" s="315" customFormat="1">
      <c r="A43" s="282"/>
      <c r="B43" s="316">
        <v>9</v>
      </c>
      <c r="C43" s="317" t="s">
        <v>247</v>
      </c>
      <c r="D43" s="304" t="str">
        <f ca="1">IF(ISERROR(OFFSET('HARGA SATUAN'!$D$6,MATCH(RAB!C43,'HARGA SATUAN'!$C$7:$C$1495,0),0)),"",OFFSET('HARGA SATUAN'!$D$6,MATCH(RAB!C43,'HARGA SATUAN'!$C$7:$C$1495,0),0))</f>
        <v>HDW</v>
      </c>
      <c r="E43" s="305" t="str">
        <f ca="1">IF(B43="+","Unit",IF(ISERROR(OFFSET('HARGA SATUAN'!$E$6,MATCH(RAB!C43,'HARGA SATUAN'!$C$7:$C$1495,0),0)),"",OFFSET('HARGA SATUAN'!$E$6,MATCH(RAB!C43,'HARGA SATUAN'!$C$7:$C$1495,0),0)))</f>
        <v>Bh</v>
      </c>
      <c r="F43" s="495">
        <f>F34*1</f>
        <v>2</v>
      </c>
      <c r="G43" s="306">
        <f ca="1">IF(ISERROR(OFFSET('HARGA SATUAN'!$I$6,MATCH(RAB!C43,'HARGA SATUAN'!$C$7:$C$1495,0),0)),0,OFFSET('HARGA SATUAN'!$I$6,MATCH(RAB!C43,'HARGA SATUAN'!$C$7:$C$1495,0),0))</f>
        <v>57690</v>
      </c>
      <c r="H43" s="307">
        <f t="shared" ca="1" si="0"/>
        <v>0</v>
      </c>
      <c r="I43" s="307">
        <f t="shared" ca="1" si="1"/>
        <v>115380</v>
      </c>
      <c r="J43" s="307">
        <f t="shared" ca="1" si="2"/>
        <v>0</v>
      </c>
      <c r="K43" s="308">
        <f t="shared" ca="1" si="3"/>
        <v>115380</v>
      </c>
      <c r="L43" s="314"/>
      <c r="M43" s="288" t="str">
        <f t="shared" ca="1" si="8"/>
        <v/>
      </c>
      <c r="N43" s="314"/>
      <c r="O43" s="309"/>
      <c r="P43" s="309"/>
      <c r="Q43" s="290"/>
      <c r="R43" s="282"/>
      <c r="S43" s="310"/>
      <c r="T43" s="287"/>
      <c r="U43" s="287"/>
      <c r="V43" s="287"/>
    </row>
    <row r="44" spans="1:22" s="315" customFormat="1">
      <c r="A44" s="282"/>
      <c r="B44" s="316">
        <v>10</v>
      </c>
      <c r="C44" s="317" t="s">
        <v>265</v>
      </c>
      <c r="D44" s="304" t="str">
        <f ca="1">IF(ISERROR(OFFSET('HARGA SATUAN'!$D$6,MATCH(RAB!C44,'HARGA SATUAN'!$C$7:$C$1495,0),0)),"",OFFSET('HARGA SATUAN'!$D$6,MATCH(RAB!C44,'HARGA SATUAN'!$C$7:$C$1495,0),0))</f>
        <v>HDW</v>
      </c>
      <c r="E44" s="305" t="str">
        <f ca="1">IF(B44="+","Unit",IF(ISERROR(OFFSET('HARGA SATUAN'!$E$6,MATCH(RAB!C44,'HARGA SATUAN'!$C$7:$C$1495,0),0)),"",OFFSET('HARGA SATUAN'!$E$6,MATCH(RAB!C44,'HARGA SATUAN'!$C$7:$C$1495,0),0)))</f>
        <v>Bh</v>
      </c>
      <c r="F44" s="495">
        <f>F34*1</f>
        <v>2</v>
      </c>
      <c r="G44" s="306">
        <f ca="1">IF(ISERROR(OFFSET('HARGA SATUAN'!$I$6,MATCH(RAB!C44,'HARGA SATUAN'!$C$7:$C$1495,0),0)),0,OFFSET('HARGA SATUAN'!$I$6,MATCH(RAB!C44,'HARGA SATUAN'!$C$7:$C$1495,0),0))</f>
        <v>33501.866666666669</v>
      </c>
      <c r="H44" s="307">
        <f t="shared" ca="1" si="0"/>
        <v>0</v>
      </c>
      <c r="I44" s="307">
        <f t="shared" ca="1" si="1"/>
        <v>67003.733333333337</v>
      </c>
      <c r="J44" s="307">
        <f t="shared" ca="1" si="2"/>
        <v>0</v>
      </c>
      <c r="K44" s="308">
        <f t="shared" ca="1" si="3"/>
        <v>67003.733333333337</v>
      </c>
      <c r="L44" s="314"/>
      <c r="M44" s="288" t="str">
        <f t="shared" ca="1" si="8"/>
        <v/>
      </c>
      <c r="N44" s="314"/>
      <c r="O44" s="309"/>
      <c r="P44" s="309"/>
      <c r="Q44" s="290"/>
      <c r="R44" s="282"/>
      <c r="S44" s="310"/>
      <c r="T44" s="287"/>
      <c r="U44" s="287"/>
      <c r="V44" s="287"/>
    </row>
    <row r="45" spans="1:22" s="315" customFormat="1">
      <c r="A45" s="282"/>
      <c r="B45" s="316">
        <v>11</v>
      </c>
      <c r="C45" s="317" t="s">
        <v>26</v>
      </c>
      <c r="D45" s="304" t="str">
        <f ca="1">IF(ISERROR(OFFSET('HARGA SATUAN'!$D$6,MATCH(RAB!C45,'HARGA SATUAN'!$C$7:$C$1495,0),0)),"",OFFSET('HARGA SATUAN'!$D$6,MATCH(RAB!C45,'HARGA SATUAN'!$C$7:$C$1495,0),0))</f>
        <v>HDW</v>
      </c>
      <c r="E45" s="305" t="str">
        <f ca="1">IF(B45="+","Unit",IF(ISERROR(OFFSET('HARGA SATUAN'!$E$6,MATCH(RAB!C45,'HARGA SATUAN'!$C$7:$C$1495,0),0)),"",OFFSET('HARGA SATUAN'!$E$6,MATCH(RAB!C45,'HARGA SATUAN'!$C$7:$C$1495,0),0)))</f>
        <v>Bh</v>
      </c>
      <c r="F45" s="495">
        <f>F34*1</f>
        <v>2</v>
      </c>
      <c r="G45" s="306">
        <f ca="1">IF(ISERROR(OFFSET('HARGA SATUAN'!$I$6,MATCH(RAB!C45,'HARGA SATUAN'!$C$7:$C$1495,0),0)),0,OFFSET('HARGA SATUAN'!$I$6,MATCH(RAB!C45,'HARGA SATUAN'!$C$7:$C$1495,0),0))</f>
        <v>2500</v>
      </c>
      <c r="H45" s="307">
        <f t="shared" ca="1" si="0"/>
        <v>0</v>
      </c>
      <c r="I45" s="307">
        <f t="shared" ca="1" si="1"/>
        <v>5000</v>
      </c>
      <c r="J45" s="307">
        <f t="shared" ca="1" si="2"/>
        <v>0</v>
      </c>
      <c r="K45" s="308">
        <f t="shared" ca="1" si="3"/>
        <v>5000</v>
      </c>
      <c r="L45" s="314"/>
      <c r="M45" s="288" t="str">
        <f t="shared" ca="1" si="8"/>
        <v/>
      </c>
      <c r="N45" s="314"/>
      <c r="O45" s="309"/>
      <c r="P45" s="309"/>
      <c r="Q45" s="290"/>
      <c r="R45" s="282"/>
      <c r="S45" s="310"/>
      <c r="T45" s="287"/>
      <c r="U45" s="287"/>
      <c r="V45" s="287"/>
    </row>
    <row r="46" spans="1:22" s="315" customFormat="1">
      <c r="A46" s="282"/>
      <c r="B46" s="316">
        <v>12</v>
      </c>
      <c r="C46" s="317" t="s">
        <v>657</v>
      </c>
      <c r="D46" s="304" t="str">
        <f ca="1">IF(ISERROR(OFFSET('HARGA SATUAN'!$D$6,MATCH(RAB!C46,'HARGA SATUAN'!$C$7:$C$1495,0),0)),"",OFFSET('HARGA SATUAN'!$D$6,MATCH(RAB!C46,'HARGA SATUAN'!$C$7:$C$1495,0),0))</f>
        <v>JASA</v>
      </c>
      <c r="E46" s="305" t="str">
        <f ca="1">IF(B46="+","Unit",IF(ISERROR(OFFSET('HARGA SATUAN'!$E$6,MATCH(RAB!C46,'HARGA SATUAN'!$C$7:$C$1495,0),0)),"",OFFSET('HARGA SATUAN'!$E$6,MATCH(RAB!C46,'HARGA SATUAN'!$C$7:$C$1495,0),0)))</f>
        <v>Unit</v>
      </c>
      <c r="F46" s="495">
        <f>F34*1</f>
        <v>2</v>
      </c>
      <c r="G46" s="306">
        <f ca="1">IF(ISERROR(OFFSET('HARGA SATUAN'!$I$6,MATCH(RAB!C46,'HARGA SATUAN'!$C$7:$C$1495,0),0)),0,OFFSET('HARGA SATUAN'!$I$6,MATCH(RAB!C46,'HARGA SATUAN'!$C$7:$C$1495,0),0))</f>
        <v>53800</v>
      </c>
      <c r="H46" s="307">
        <f t="shared" ca="1" si="0"/>
        <v>0</v>
      </c>
      <c r="I46" s="307">
        <f t="shared" ca="1" si="1"/>
        <v>0</v>
      </c>
      <c r="J46" s="307">
        <f t="shared" ca="1" si="2"/>
        <v>107600</v>
      </c>
      <c r="K46" s="308">
        <f t="shared" ca="1" si="3"/>
        <v>107600</v>
      </c>
      <c r="L46" s="314"/>
      <c r="M46" s="288" t="str">
        <f t="shared" ca="1" si="8"/>
        <v/>
      </c>
      <c r="N46" s="314"/>
      <c r="O46" s="309"/>
      <c r="P46" s="309"/>
      <c r="Q46" s="290"/>
      <c r="R46" s="282"/>
      <c r="S46" s="310"/>
      <c r="T46" s="287"/>
      <c r="U46" s="287"/>
      <c r="V46" s="287"/>
    </row>
    <row r="47" spans="1:22" s="315" customFormat="1">
      <c r="A47" s="282"/>
      <c r="B47" s="316"/>
      <c r="C47" s="317"/>
      <c r="D47" s="304" t="str">
        <f ca="1">IF(ISERROR(OFFSET('HARGA SATUAN'!$D$6,MATCH(RAB!C47,'HARGA SATUAN'!$C$7:$C$1495,0),0)),"",OFFSET('HARGA SATUAN'!$D$6,MATCH(RAB!C47,'HARGA SATUAN'!$C$7:$C$1495,0),0))</f>
        <v/>
      </c>
      <c r="E47" s="305" t="str">
        <f ca="1">IF(B47="+","Unit",IF(ISERROR(OFFSET('HARGA SATUAN'!$E$6,MATCH(RAB!C47,'HARGA SATUAN'!$C$7:$C$1495,0),0)),"",OFFSET('HARGA SATUAN'!$E$6,MATCH(RAB!C47,'HARGA SATUAN'!$C$7:$C$1495,0),0)))</f>
        <v/>
      </c>
      <c r="F47" s="495"/>
      <c r="G47" s="306">
        <f ca="1">IF(ISERROR(OFFSET('HARGA SATUAN'!$I$6,MATCH(RAB!C47,'HARGA SATUAN'!$C$7:$C$1495,0),0)),0,OFFSET('HARGA SATUAN'!$I$6,MATCH(RAB!C47,'HARGA SATUAN'!$C$7:$C$1495,0),0))</f>
        <v>0</v>
      </c>
      <c r="H47" s="307">
        <f t="shared" ref="H47" ca="1" si="17">IF(OR(D47="MDU",D47="MDU-KD"),(IF($O$3="RAB NON MDU","PLN KD",G47*F47)),0)</f>
        <v>0</v>
      </c>
      <c r="I47" s="307">
        <f t="shared" ref="I47" ca="1" si="18">IF(D47="HDW",G47*F47,0)</f>
        <v>0</v>
      </c>
      <c r="J47" s="307">
        <f t="shared" ref="J47" ca="1" si="19">IF(D47="JASA",G47*F47,0)</f>
        <v>0</v>
      </c>
      <c r="K47" s="308">
        <f t="shared" ref="K47" ca="1" si="20">SUM(H47:J47)</f>
        <v>0</v>
      </c>
      <c r="L47" s="314"/>
      <c r="M47" s="288" t="str">
        <f t="shared" ca="1" si="8"/>
        <v/>
      </c>
      <c r="N47" s="314"/>
      <c r="O47" s="309"/>
      <c r="P47" s="309"/>
      <c r="Q47" s="290"/>
      <c r="R47" s="282"/>
      <c r="S47" s="310"/>
      <c r="T47" s="287"/>
      <c r="U47" s="287"/>
      <c r="V47" s="287"/>
    </row>
    <row r="48" spans="1:22" s="315" customFormat="1">
      <c r="A48" s="282"/>
      <c r="B48" s="316" t="s">
        <v>1035</v>
      </c>
      <c r="C48" s="317" t="s">
        <v>1641</v>
      </c>
      <c r="D48" s="304" t="str">
        <f ca="1">IF(ISERROR(OFFSET('HARGA SATUAN'!$D$6,MATCH(RAB!C48,'HARGA SATUAN'!$C$7:$C$1495,0),0)),"",OFFSET('HARGA SATUAN'!$D$6,MATCH(RAB!C48,'HARGA SATUAN'!$C$7:$C$1495,0),0))</f>
        <v/>
      </c>
      <c r="E48" s="305" t="str">
        <f ca="1">IF(B48="+","Unit",IF(ISERROR(OFFSET('HARGA SATUAN'!$E$6,MATCH(RAB!C48,'HARGA SATUAN'!$C$7:$C$1495,0),0)),"",OFFSET('HARGA SATUAN'!$E$6,MATCH(RAB!C48,'HARGA SATUAN'!$C$7:$C$1495,0),0)))</f>
        <v>Unit</v>
      </c>
      <c r="F48" s="495">
        <v>2</v>
      </c>
      <c r="G48" s="306">
        <f ca="1">IF(ISERROR(OFFSET('HARGA SATUAN'!$I$6,MATCH(RAB!C48,'HARGA SATUAN'!$C$7:$C$1495,0),0)),0,OFFSET('HARGA SATUAN'!$I$6,MATCH(RAB!C48,'HARGA SATUAN'!$C$7:$C$1495,0),0))</f>
        <v>0</v>
      </c>
      <c r="H48" s="307">
        <f t="shared" ref="H48:H58" ca="1" si="21">IF(OR(D48="MDU",D48="MDU-KD"),(IF($O$3="RAB NON MDU","PLN KD",G48*F48)),0)</f>
        <v>0</v>
      </c>
      <c r="I48" s="307">
        <f t="shared" ref="I48:I58" ca="1" si="22">IF(D48="HDW",G48*F48,0)</f>
        <v>0</v>
      </c>
      <c r="J48" s="307">
        <f t="shared" ref="J48:J58" ca="1" si="23">IF(D48="JASA",G48*F48,0)</f>
        <v>0</v>
      </c>
      <c r="K48" s="308">
        <f t="shared" ref="K48:K58" ca="1" si="24">SUM(H48:J48)</f>
        <v>0</v>
      </c>
      <c r="L48" s="314"/>
      <c r="M48" s="288" t="e">
        <f>IF(AND(F48&gt;0,#REF!=0),"",IF(AND(ISBLANK(F48)=FALSE,K48=0),"WARNING",""))</f>
        <v>#REF!</v>
      </c>
      <c r="N48" s="314"/>
      <c r="O48" s="309"/>
      <c r="P48" s="309"/>
      <c r="Q48" s="290"/>
      <c r="R48" s="282"/>
      <c r="S48" s="310"/>
      <c r="T48" s="287"/>
      <c r="U48" s="287"/>
      <c r="V48" s="287"/>
    </row>
    <row r="49" spans="1:22" s="315" customFormat="1">
      <c r="A49" s="282"/>
      <c r="B49" s="316">
        <v>1</v>
      </c>
      <c r="C49" s="317" t="s">
        <v>1612</v>
      </c>
      <c r="D49" s="304" t="str">
        <f ca="1">IF(ISERROR(OFFSET('HARGA SATUAN'!$D$6,MATCH(RAB!C49,'HARGA SATUAN'!$C$7:$C$1495,0),0)),"",OFFSET('HARGA SATUAN'!$D$6,MATCH(RAB!C49,'HARGA SATUAN'!$C$7:$C$1495,0),0))</f>
        <v>MDU-KD</v>
      </c>
      <c r="E49" s="305" t="str">
        <f ca="1">IF(B49="+","Unit",IF(ISERROR(OFFSET('HARGA SATUAN'!$E$6,MATCH(RAB!C49,'HARGA SATUAN'!$C$7:$C$1495,0),0)),"",OFFSET('HARGA SATUAN'!$E$6,MATCH(RAB!C49,'HARGA SATUAN'!$C$7:$C$1495,0),0)))</f>
        <v>Bh</v>
      </c>
      <c r="F49" s="495">
        <f>F48*2</f>
        <v>4</v>
      </c>
      <c r="G49" s="306">
        <f ca="1">IF(ISERROR(OFFSET('HARGA SATUAN'!$I$6,MATCH(RAB!C49,'HARGA SATUAN'!$C$7:$C$1495,0),0)),0,OFFSET('HARGA SATUAN'!$I$6,MATCH(RAB!C49,'HARGA SATUAN'!$C$7:$C$1495,0),0))</f>
        <v>176900</v>
      </c>
      <c r="H49" s="307">
        <f t="shared" ca="1" si="21"/>
        <v>707600</v>
      </c>
      <c r="I49" s="307">
        <f t="shared" ca="1" si="22"/>
        <v>0</v>
      </c>
      <c r="J49" s="307">
        <f t="shared" ca="1" si="23"/>
        <v>0</v>
      </c>
      <c r="K49" s="308">
        <f t="shared" ca="1" si="24"/>
        <v>707600</v>
      </c>
      <c r="L49" s="314"/>
      <c r="M49" s="288" t="str">
        <f t="shared" ref="M49:M58" ca="1" si="25">IF(AND(F49&gt;0,F48=0),"",IF(AND(ISBLANK(F49)=FALSE,K49=0),"WARNING",""))</f>
        <v/>
      </c>
      <c r="N49" s="314"/>
      <c r="O49" s="309"/>
      <c r="P49" s="309"/>
      <c r="Q49" s="290"/>
      <c r="R49" s="282"/>
      <c r="S49" s="310"/>
      <c r="T49" s="287"/>
      <c r="U49" s="287"/>
      <c r="V49" s="287"/>
    </row>
    <row r="50" spans="1:22" s="315" customFormat="1">
      <c r="A50" s="282"/>
      <c r="B50" s="316">
        <v>2</v>
      </c>
      <c r="C50" s="317" t="s">
        <v>28</v>
      </c>
      <c r="D50" s="304" t="str">
        <f ca="1">IF(ISERROR(OFFSET('HARGA SATUAN'!$D$6,MATCH(RAB!C50,'HARGA SATUAN'!$C$7:$C$1495,0),0)),"",OFFSET('HARGA SATUAN'!$D$6,MATCH(RAB!C50,'HARGA SATUAN'!$C$7:$C$1495,0),0))</f>
        <v>HDW</v>
      </c>
      <c r="E50" s="305" t="str">
        <f ca="1">IF(B50="+","Unit",IF(ISERROR(OFFSET('HARGA SATUAN'!$E$6,MATCH(RAB!C50,'HARGA SATUAN'!$C$7:$C$1495,0),0)),"",OFFSET('HARGA SATUAN'!$E$6,MATCH(RAB!C50,'HARGA SATUAN'!$C$7:$C$1495,0),0)))</f>
        <v>Bh</v>
      </c>
      <c r="F50" s="495">
        <f>F48*2</f>
        <v>4</v>
      </c>
      <c r="G50" s="306">
        <f ca="1">IF(ISERROR(OFFSET('HARGA SATUAN'!$I$6,MATCH(RAB!C50,'HARGA SATUAN'!$C$7:$C$1495,0),0)),0,OFFSET('HARGA SATUAN'!$I$6,MATCH(RAB!C50,'HARGA SATUAN'!$C$7:$C$1495,0),0))</f>
        <v>26500</v>
      </c>
      <c r="H50" s="307">
        <f t="shared" ca="1" si="21"/>
        <v>0</v>
      </c>
      <c r="I50" s="307">
        <f t="shared" ca="1" si="22"/>
        <v>106000</v>
      </c>
      <c r="J50" s="307">
        <f t="shared" ca="1" si="23"/>
        <v>0</v>
      </c>
      <c r="K50" s="308">
        <f t="shared" ca="1" si="24"/>
        <v>106000</v>
      </c>
      <c r="L50" s="314"/>
      <c r="M50" s="288" t="str">
        <f t="shared" ca="1" si="25"/>
        <v/>
      </c>
      <c r="N50" s="314"/>
      <c r="O50" s="309"/>
      <c r="P50" s="309"/>
      <c r="Q50" s="290"/>
      <c r="R50" s="282"/>
      <c r="S50" s="310"/>
      <c r="T50" s="287"/>
      <c r="U50" s="287"/>
      <c r="V50" s="287"/>
    </row>
    <row r="51" spans="1:22" s="315" customFormat="1">
      <c r="A51" s="282"/>
      <c r="B51" s="316">
        <v>3</v>
      </c>
      <c r="C51" s="317" t="s">
        <v>175</v>
      </c>
      <c r="D51" s="304" t="str">
        <f ca="1">IF(ISERROR(OFFSET('HARGA SATUAN'!$D$6,MATCH(RAB!C51,'HARGA SATUAN'!$C$7:$C$1495,0),0)),"",OFFSET('HARGA SATUAN'!$D$6,MATCH(RAB!C51,'HARGA SATUAN'!$C$7:$C$1495,0),0))</f>
        <v>HDW</v>
      </c>
      <c r="E51" s="305" t="str">
        <f ca="1">IF(B51="+","Unit",IF(ISERROR(OFFSET('HARGA SATUAN'!$E$6,MATCH(RAB!C51,'HARGA SATUAN'!$C$7:$C$1495,0),0)),"",OFFSET('HARGA SATUAN'!$E$6,MATCH(RAB!C51,'HARGA SATUAN'!$C$7:$C$1495,0),0)))</f>
        <v>Bh</v>
      </c>
      <c r="F51" s="495">
        <f>F48*1</f>
        <v>2</v>
      </c>
      <c r="G51" s="306">
        <f ca="1">IF(ISERROR(OFFSET('HARGA SATUAN'!$I$6,MATCH(RAB!C51,'HARGA SATUAN'!$C$7:$C$1495,0),0)),0,OFFSET('HARGA SATUAN'!$I$6,MATCH(RAB!C51,'HARGA SATUAN'!$C$7:$C$1495,0),0))</f>
        <v>13100</v>
      </c>
      <c r="H51" s="307">
        <f t="shared" ca="1" si="21"/>
        <v>0</v>
      </c>
      <c r="I51" s="307">
        <f t="shared" ca="1" si="22"/>
        <v>26200</v>
      </c>
      <c r="J51" s="307">
        <f t="shared" ca="1" si="23"/>
        <v>0</v>
      </c>
      <c r="K51" s="308">
        <f t="shared" ca="1" si="24"/>
        <v>26200</v>
      </c>
      <c r="L51" s="314"/>
      <c r="M51" s="288" t="str">
        <f t="shared" ca="1" si="25"/>
        <v/>
      </c>
      <c r="N51" s="314"/>
      <c r="O51" s="309"/>
      <c r="P51" s="309"/>
      <c r="Q51" s="290"/>
      <c r="R51" s="282"/>
      <c r="S51" s="310"/>
      <c r="T51" s="287"/>
      <c r="U51" s="287"/>
      <c r="V51" s="287"/>
    </row>
    <row r="52" spans="1:22" s="315" customFormat="1">
      <c r="A52" s="282"/>
      <c r="B52" s="316">
        <v>4</v>
      </c>
      <c r="C52" s="317" t="s">
        <v>178</v>
      </c>
      <c r="D52" s="304" t="str">
        <f ca="1">IF(ISERROR(OFFSET('HARGA SATUAN'!$D$6,MATCH(RAB!C52,'HARGA SATUAN'!$C$7:$C$1495,0),0)),"",OFFSET('HARGA SATUAN'!$D$6,MATCH(RAB!C52,'HARGA SATUAN'!$C$7:$C$1495,0),0))</f>
        <v>HDW</v>
      </c>
      <c r="E52" s="305" t="str">
        <f ca="1">IF(B52="+","Unit",IF(ISERROR(OFFSET('HARGA SATUAN'!$E$6,MATCH(RAB!C52,'HARGA SATUAN'!$C$7:$C$1495,0),0)),"",OFFSET('HARGA SATUAN'!$E$6,MATCH(RAB!C52,'HARGA SATUAN'!$C$7:$C$1495,0),0)))</f>
        <v>Bh</v>
      </c>
      <c r="F52" s="495">
        <f>F48*2</f>
        <v>4</v>
      </c>
      <c r="G52" s="306">
        <f ca="1">IF(ISERROR(OFFSET('HARGA SATUAN'!$I$6,MATCH(RAB!C52,'HARGA SATUAN'!$C$7:$C$1495,0),0)),0,OFFSET('HARGA SATUAN'!$I$6,MATCH(RAB!C52,'HARGA SATUAN'!$C$7:$C$1495,0),0))</f>
        <v>95000</v>
      </c>
      <c r="H52" s="307">
        <f t="shared" ca="1" si="21"/>
        <v>0</v>
      </c>
      <c r="I52" s="307">
        <f t="shared" ca="1" si="22"/>
        <v>380000</v>
      </c>
      <c r="J52" s="307">
        <f t="shared" ca="1" si="23"/>
        <v>0</v>
      </c>
      <c r="K52" s="308">
        <f t="shared" ca="1" si="24"/>
        <v>380000</v>
      </c>
      <c r="L52" s="314"/>
      <c r="M52" s="288" t="str">
        <f t="shared" ca="1" si="25"/>
        <v/>
      </c>
      <c r="N52" s="314"/>
      <c r="O52" s="309"/>
      <c r="P52" s="309"/>
      <c r="Q52" s="290"/>
      <c r="R52" s="282"/>
      <c r="S52" s="310"/>
      <c r="T52" s="287"/>
      <c r="U52" s="287"/>
      <c r="V52" s="287"/>
    </row>
    <row r="53" spans="1:22" s="315" customFormat="1">
      <c r="A53" s="282"/>
      <c r="B53" s="316">
        <v>5</v>
      </c>
      <c r="C53" s="317" t="s">
        <v>217</v>
      </c>
      <c r="D53" s="304" t="str">
        <f ca="1">IF(ISERROR(OFFSET('HARGA SATUAN'!$D$6,MATCH(RAB!C53,'HARGA SATUAN'!$C$7:$C$1495,0),0)),"",OFFSET('HARGA SATUAN'!$D$6,MATCH(RAB!C53,'HARGA SATUAN'!$C$7:$C$1495,0),0))</f>
        <v>HDW</v>
      </c>
      <c r="E53" s="305" t="str">
        <f ca="1">IF(B53="+","Unit",IF(ISERROR(OFFSET('HARGA SATUAN'!$E$6,MATCH(RAB!C53,'HARGA SATUAN'!$C$7:$C$1495,0),0)),"",OFFSET('HARGA SATUAN'!$E$6,MATCH(RAB!C53,'HARGA SATUAN'!$C$7:$C$1495,0),0)))</f>
        <v>Bh</v>
      </c>
      <c r="F53" s="495">
        <f>F48*2</f>
        <v>4</v>
      </c>
      <c r="G53" s="306">
        <f ca="1">IF(ISERROR(OFFSET('HARGA SATUAN'!$I$6,MATCH(RAB!C53,'HARGA SATUAN'!$C$7:$C$1495,0),0)),0,OFFSET('HARGA SATUAN'!$I$6,MATCH(RAB!C53,'HARGA SATUAN'!$C$7:$C$1495,0),0))</f>
        <v>11400</v>
      </c>
      <c r="H53" s="307">
        <f t="shared" ca="1" si="21"/>
        <v>0</v>
      </c>
      <c r="I53" s="307">
        <f t="shared" ca="1" si="22"/>
        <v>45600</v>
      </c>
      <c r="J53" s="307">
        <f t="shared" ca="1" si="23"/>
        <v>0</v>
      </c>
      <c r="K53" s="308">
        <f t="shared" ca="1" si="24"/>
        <v>45600</v>
      </c>
      <c r="L53" s="314"/>
      <c r="M53" s="288" t="str">
        <f t="shared" ca="1" si="25"/>
        <v/>
      </c>
      <c r="N53" s="314"/>
      <c r="O53" s="309"/>
      <c r="P53" s="309"/>
      <c r="Q53" s="290"/>
      <c r="R53" s="282"/>
      <c r="S53" s="310"/>
      <c r="T53" s="287"/>
      <c r="U53" s="287"/>
      <c r="V53" s="287"/>
    </row>
    <row r="54" spans="1:22" s="315" customFormat="1">
      <c r="A54" s="282"/>
      <c r="B54" s="316">
        <v>6</v>
      </c>
      <c r="C54" s="317" t="s">
        <v>247</v>
      </c>
      <c r="D54" s="304" t="str">
        <f ca="1">IF(ISERROR(OFFSET('HARGA SATUAN'!$D$6,MATCH(RAB!C54,'HARGA SATUAN'!$C$7:$C$1495,0),0)),"",OFFSET('HARGA SATUAN'!$D$6,MATCH(RAB!C54,'HARGA SATUAN'!$C$7:$C$1495,0),0))</f>
        <v>HDW</v>
      </c>
      <c r="E54" s="305" t="str">
        <f ca="1">IF(B54="+","Unit",IF(ISERROR(OFFSET('HARGA SATUAN'!$E$6,MATCH(RAB!C54,'HARGA SATUAN'!$C$7:$C$1495,0),0)),"",OFFSET('HARGA SATUAN'!$E$6,MATCH(RAB!C54,'HARGA SATUAN'!$C$7:$C$1495,0),0)))</f>
        <v>Bh</v>
      </c>
      <c r="F54" s="495">
        <f>F48*1</f>
        <v>2</v>
      </c>
      <c r="G54" s="306">
        <f ca="1">IF(ISERROR(OFFSET('HARGA SATUAN'!$I$6,MATCH(RAB!C54,'HARGA SATUAN'!$C$7:$C$1495,0),0)),0,OFFSET('HARGA SATUAN'!$I$6,MATCH(RAB!C54,'HARGA SATUAN'!$C$7:$C$1495,0),0))</f>
        <v>57690</v>
      </c>
      <c r="H54" s="307">
        <f t="shared" ca="1" si="21"/>
        <v>0</v>
      </c>
      <c r="I54" s="307">
        <f t="shared" ca="1" si="22"/>
        <v>115380</v>
      </c>
      <c r="J54" s="307">
        <f t="shared" ca="1" si="23"/>
        <v>0</v>
      </c>
      <c r="K54" s="308">
        <f t="shared" ca="1" si="24"/>
        <v>115380</v>
      </c>
      <c r="L54" s="314"/>
      <c r="M54" s="288" t="str">
        <f t="shared" ca="1" si="25"/>
        <v/>
      </c>
      <c r="N54" s="314"/>
      <c r="O54" s="309"/>
      <c r="P54" s="309"/>
      <c r="Q54" s="290"/>
      <c r="R54" s="282"/>
      <c r="S54" s="310"/>
      <c r="T54" s="287"/>
      <c r="U54" s="287"/>
      <c r="V54" s="287"/>
    </row>
    <row r="55" spans="1:22" s="315" customFormat="1">
      <c r="A55" s="282"/>
      <c r="B55" s="316">
        <v>7</v>
      </c>
      <c r="C55" s="317" t="s">
        <v>264</v>
      </c>
      <c r="D55" s="304" t="str">
        <f ca="1">IF(ISERROR(OFFSET('HARGA SATUAN'!$D$6,MATCH(RAB!C55,'HARGA SATUAN'!$C$7:$C$1495,0),0)),"",OFFSET('HARGA SATUAN'!$D$6,MATCH(RAB!C55,'HARGA SATUAN'!$C$7:$C$1495,0),0))</f>
        <v>HDW</v>
      </c>
      <c r="E55" s="305" t="str">
        <f ca="1">IF(B55="+","Unit",IF(ISERROR(OFFSET('HARGA SATUAN'!$E$6,MATCH(RAB!C55,'HARGA SATUAN'!$C$7:$C$1495,0),0)),"",OFFSET('HARGA SATUAN'!$E$6,MATCH(RAB!C55,'HARGA SATUAN'!$C$7:$C$1495,0),0)))</f>
        <v>Bh</v>
      </c>
      <c r="F55" s="495">
        <f>F48*1</f>
        <v>2</v>
      </c>
      <c r="G55" s="306">
        <f ca="1">IF(ISERROR(OFFSET('HARGA SATUAN'!$I$6,MATCH(RAB!C55,'HARGA SATUAN'!$C$7:$C$1495,0),0)),0,OFFSET('HARGA SATUAN'!$I$6,MATCH(RAB!C55,'HARGA SATUAN'!$C$7:$C$1495,0),0))</f>
        <v>28000</v>
      </c>
      <c r="H55" s="307">
        <f t="shared" ca="1" si="21"/>
        <v>0</v>
      </c>
      <c r="I55" s="307">
        <f t="shared" ca="1" si="22"/>
        <v>56000</v>
      </c>
      <c r="J55" s="307">
        <f t="shared" ca="1" si="23"/>
        <v>0</v>
      </c>
      <c r="K55" s="308">
        <f t="shared" ca="1" si="24"/>
        <v>56000</v>
      </c>
      <c r="L55" s="314"/>
      <c r="M55" s="288" t="str">
        <f t="shared" ca="1" si="25"/>
        <v/>
      </c>
      <c r="N55" s="314"/>
      <c r="O55" s="309"/>
      <c r="P55" s="309"/>
      <c r="Q55" s="290"/>
      <c r="R55" s="282"/>
      <c r="S55" s="310"/>
      <c r="T55" s="287"/>
      <c r="U55" s="287"/>
      <c r="V55" s="287"/>
    </row>
    <row r="56" spans="1:22" s="315" customFormat="1">
      <c r="A56" s="282"/>
      <c r="B56" s="316">
        <v>8</v>
      </c>
      <c r="C56" s="317" t="s">
        <v>38</v>
      </c>
      <c r="D56" s="304" t="str">
        <f ca="1">IF(ISERROR(OFFSET('HARGA SATUAN'!$D$6,MATCH(RAB!C56,'HARGA SATUAN'!$C$7:$C$1495,0),0)),"",OFFSET('HARGA SATUAN'!$D$6,MATCH(RAB!C56,'HARGA SATUAN'!$C$7:$C$1495,0),0))</f>
        <v>HDW</v>
      </c>
      <c r="E56" s="305" t="str">
        <f ca="1">IF(B56="+","Unit",IF(ISERROR(OFFSET('HARGA SATUAN'!$E$6,MATCH(RAB!C56,'HARGA SATUAN'!$C$7:$C$1495,0),0)),"",OFFSET('HARGA SATUAN'!$E$6,MATCH(RAB!C56,'HARGA SATUAN'!$C$7:$C$1495,0),0)))</f>
        <v>Mtr</v>
      </c>
      <c r="F56" s="495">
        <f>4.4*F48</f>
        <v>8.8000000000000007</v>
      </c>
      <c r="G56" s="306">
        <f ca="1">IF(ISERROR(OFFSET('HARGA SATUAN'!$I$6,MATCH(RAB!C56,'HARGA SATUAN'!$C$7:$C$1495,0),0)),0,OFFSET('HARGA SATUAN'!$I$6,MATCH(RAB!C56,'HARGA SATUAN'!$C$7:$C$1495,0),0))</f>
        <v>8550</v>
      </c>
      <c r="H56" s="307">
        <f t="shared" ca="1" si="21"/>
        <v>0</v>
      </c>
      <c r="I56" s="307">
        <f t="shared" ca="1" si="22"/>
        <v>75240</v>
      </c>
      <c r="J56" s="307">
        <f t="shared" ca="1" si="23"/>
        <v>0</v>
      </c>
      <c r="K56" s="308">
        <f t="shared" ca="1" si="24"/>
        <v>75240</v>
      </c>
      <c r="L56" s="314"/>
      <c r="M56" s="288" t="str">
        <f t="shared" ca="1" si="25"/>
        <v/>
      </c>
      <c r="N56" s="314"/>
      <c r="O56" s="309"/>
      <c r="P56" s="309"/>
      <c r="Q56" s="290"/>
      <c r="R56" s="282"/>
      <c r="S56" s="310"/>
      <c r="T56" s="287"/>
      <c r="U56" s="287"/>
      <c r="V56" s="287"/>
    </row>
    <row r="57" spans="1:22" s="315" customFormat="1">
      <c r="A57" s="282"/>
      <c r="B57" s="316">
        <v>9</v>
      </c>
      <c r="C57" s="317" t="s">
        <v>26</v>
      </c>
      <c r="D57" s="304" t="str">
        <f ca="1">IF(ISERROR(OFFSET('HARGA SATUAN'!$D$6,MATCH(RAB!C57,'HARGA SATUAN'!$C$7:$C$1495,0),0)),"",OFFSET('HARGA SATUAN'!$D$6,MATCH(RAB!C57,'HARGA SATUAN'!$C$7:$C$1495,0),0))</f>
        <v>HDW</v>
      </c>
      <c r="E57" s="305" t="str">
        <f ca="1">IF(B57="+","Unit",IF(ISERROR(OFFSET('HARGA SATUAN'!$E$6,MATCH(RAB!C57,'HARGA SATUAN'!$C$7:$C$1495,0),0)),"",OFFSET('HARGA SATUAN'!$E$6,MATCH(RAB!C57,'HARGA SATUAN'!$C$7:$C$1495,0),0)))</f>
        <v>Bh</v>
      </c>
      <c r="F57" s="495">
        <f>F48*2</f>
        <v>4</v>
      </c>
      <c r="G57" s="306">
        <f ca="1">IF(ISERROR(OFFSET('HARGA SATUAN'!$I$6,MATCH(RAB!C57,'HARGA SATUAN'!$C$7:$C$1495,0),0)),0,OFFSET('HARGA SATUAN'!$I$6,MATCH(RAB!C57,'HARGA SATUAN'!$C$7:$C$1495,0),0))</f>
        <v>2500</v>
      </c>
      <c r="H57" s="307">
        <f t="shared" ca="1" si="21"/>
        <v>0</v>
      </c>
      <c r="I57" s="307">
        <f t="shared" ca="1" si="22"/>
        <v>10000</v>
      </c>
      <c r="J57" s="307">
        <f t="shared" ca="1" si="23"/>
        <v>0</v>
      </c>
      <c r="K57" s="308">
        <f t="shared" ca="1" si="24"/>
        <v>10000</v>
      </c>
      <c r="L57" s="314"/>
      <c r="M57" s="288" t="str">
        <f t="shared" ca="1" si="25"/>
        <v/>
      </c>
      <c r="N57" s="314"/>
      <c r="O57" s="309"/>
      <c r="P57" s="309"/>
      <c r="Q57" s="290"/>
      <c r="R57" s="282"/>
      <c r="S57" s="310"/>
      <c r="T57" s="287"/>
      <c r="U57" s="287"/>
      <c r="V57" s="287"/>
    </row>
    <row r="58" spans="1:22" s="315" customFormat="1">
      <c r="A58" s="282"/>
      <c r="B58" s="316">
        <v>10</v>
      </c>
      <c r="C58" s="317" t="s">
        <v>646</v>
      </c>
      <c r="D58" s="304" t="str">
        <f ca="1">IF(ISERROR(OFFSET('HARGA SATUAN'!$D$6,MATCH(RAB!C58,'HARGA SATUAN'!$C$7:$C$1495,0),0)),"",OFFSET('HARGA SATUAN'!$D$6,MATCH(RAB!C58,'HARGA SATUAN'!$C$7:$C$1495,0),0))</f>
        <v>JASA</v>
      </c>
      <c r="E58" s="305" t="str">
        <f ca="1">IF(B58="+","Unit",IF(ISERROR(OFFSET('HARGA SATUAN'!$E$6,MATCH(RAB!C58,'HARGA SATUAN'!$C$7:$C$1495,0),0)),"",OFFSET('HARGA SATUAN'!$E$6,MATCH(RAB!C58,'HARGA SATUAN'!$C$7:$C$1495,0),0)))</f>
        <v>Unit</v>
      </c>
      <c r="F58" s="495">
        <f>F48*1</f>
        <v>2</v>
      </c>
      <c r="G58" s="306">
        <f ca="1">IF(ISERROR(OFFSET('HARGA SATUAN'!$I$6,MATCH(RAB!C58,'HARGA SATUAN'!$C$7:$C$1495,0),0)),0,OFFSET('HARGA SATUAN'!$I$6,MATCH(RAB!C58,'HARGA SATUAN'!$C$7:$C$1495,0),0))</f>
        <v>80100</v>
      </c>
      <c r="H58" s="307">
        <f t="shared" ca="1" si="21"/>
        <v>0</v>
      </c>
      <c r="I58" s="307">
        <f t="shared" ca="1" si="22"/>
        <v>0</v>
      </c>
      <c r="J58" s="307">
        <f t="shared" ca="1" si="23"/>
        <v>160200</v>
      </c>
      <c r="K58" s="308">
        <f t="shared" ca="1" si="24"/>
        <v>160200</v>
      </c>
      <c r="L58" s="314"/>
      <c r="M58" s="288" t="str">
        <f t="shared" ca="1" si="25"/>
        <v/>
      </c>
      <c r="N58" s="314"/>
      <c r="O58" s="309"/>
      <c r="P58" s="309"/>
      <c r="Q58" s="290"/>
      <c r="R58" s="282"/>
      <c r="S58" s="310"/>
      <c r="T58" s="287"/>
      <c r="U58" s="287"/>
      <c r="V58" s="287"/>
    </row>
    <row r="59" spans="1:22" s="315" customFormat="1">
      <c r="A59" s="282"/>
      <c r="B59" s="316"/>
      <c r="C59" s="317"/>
      <c r="D59" s="304"/>
      <c r="E59" s="305"/>
      <c r="F59" s="495"/>
      <c r="G59" s="306"/>
      <c r="H59" s="307"/>
      <c r="I59" s="307"/>
      <c r="J59" s="307"/>
      <c r="K59" s="308"/>
      <c r="L59" s="314"/>
      <c r="M59" s="288" t="e">
        <f>IF(AND(F59&gt;0,#REF!=0),"",IF(AND(ISBLANK(F59)=FALSE,K59=0),"WARNING",""))</f>
        <v>#REF!</v>
      </c>
      <c r="N59" s="314"/>
      <c r="O59" s="309"/>
      <c r="P59" s="309"/>
      <c r="Q59" s="290"/>
      <c r="R59" s="282"/>
      <c r="S59" s="310"/>
      <c r="T59" s="287"/>
      <c r="U59" s="287"/>
      <c r="V59" s="287"/>
    </row>
    <row r="60" spans="1:22" s="315" customFormat="1">
      <c r="A60" s="282"/>
      <c r="B60" s="316" t="s">
        <v>1035</v>
      </c>
      <c r="C60" s="317" t="s">
        <v>1642</v>
      </c>
      <c r="D60" s="304" t="str">
        <f ca="1">IF(ISERROR(OFFSET('HARGA SATUAN'!$D$6,MATCH(RAB!C60,'HARGA SATUAN'!$C$7:$C$1495,0),0)),"",OFFSET('HARGA SATUAN'!$D$6,MATCH(RAB!C60,'HARGA SATUAN'!$C$7:$C$1495,0),0))</f>
        <v/>
      </c>
      <c r="E60" s="305" t="str">
        <f ca="1">IF(B60="+","Unit",IF(ISERROR(OFFSET('HARGA SATUAN'!$E$6,MATCH(RAB!C60,'HARGA SATUAN'!$C$7:$C$1495,0),0)),"",OFFSET('HARGA SATUAN'!$E$6,MATCH(RAB!C60,'HARGA SATUAN'!$C$7:$C$1495,0),0)))</f>
        <v>Unit</v>
      </c>
      <c r="F60" s="509">
        <v>2</v>
      </c>
      <c r="G60" s="306">
        <f ca="1">IF(ISERROR(OFFSET('HARGA SATUAN'!$I$6,MATCH(RAB!C60,'HARGA SATUAN'!$C$7:$C$1495,0),0)),0,OFFSET('HARGA SATUAN'!$I$6,MATCH(RAB!C60,'HARGA SATUAN'!$C$7:$C$1495,0),0))</f>
        <v>0</v>
      </c>
      <c r="H60" s="307">
        <f t="shared" ref="H60:H69" ca="1" si="26">IF(OR(D60="MDU",D60="MDU-KD"),(IF($O$3="RAB NON MDU","PLN KD",G60*F60)),0)</f>
        <v>0</v>
      </c>
      <c r="I60" s="307">
        <f t="shared" ref="I60:I69" ca="1" si="27">IF(D60="HDW",G60*F60,0)</f>
        <v>0</v>
      </c>
      <c r="J60" s="307">
        <f t="shared" ref="J60:J69" ca="1" si="28">IF(D60="JASA",G60*F60,0)</f>
        <v>0</v>
      </c>
      <c r="K60" s="308">
        <f t="shared" ref="K60:K69" ca="1" si="29">SUM(H60:J60)</f>
        <v>0</v>
      </c>
      <c r="L60" s="314"/>
      <c r="M60" s="288" t="e">
        <f>IF(AND(F60&gt;0,#REF!=0),"",IF(AND(ISBLANK(F60)=FALSE,K60=0),"WARNING",""))</f>
        <v>#REF!</v>
      </c>
      <c r="N60" s="314"/>
      <c r="O60" s="309"/>
      <c r="P60" s="309"/>
      <c r="Q60" s="290"/>
      <c r="R60" s="282"/>
      <c r="S60" s="310"/>
      <c r="T60" s="287"/>
      <c r="U60" s="287"/>
      <c r="V60" s="287"/>
    </row>
    <row r="61" spans="1:22" s="315" customFormat="1">
      <c r="A61" s="282"/>
      <c r="B61" s="316">
        <v>1</v>
      </c>
      <c r="C61" s="317" t="s">
        <v>1612</v>
      </c>
      <c r="D61" s="304" t="str">
        <f ca="1">IF(ISERROR(OFFSET('HARGA SATUAN'!$D$6,MATCH(RAB!C61,'HARGA SATUAN'!$C$7:$C$1495,0),0)),"",OFFSET('HARGA SATUAN'!$D$6,MATCH(RAB!C61,'HARGA SATUAN'!$C$7:$C$1495,0),0))</f>
        <v>MDU-KD</v>
      </c>
      <c r="E61" s="305" t="str">
        <f ca="1">IF(B61="+","Unit",IF(ISERROR(OFFSET('HARGA SATUAN'!$E$6,MATCH(RAB!C61,'HARGA SATUAN'!$C$7:$C$1495,0),0)),"",OFFSET('HARGA SATUAN'!$E$6,MATCH(RAB!C61,'HARGA SATUAN'!$C$7:$C$1495,0),0)))</f>
        <v>Bh</v>
      </c>
      <c r="F61" s="509">
        <f>F60*1</f>
        <v>2</v>
      </c>
      <c r="G61" s="306">
        <f ca="1">IF(ISERROR(OFFSET('HARGA SATUAN'!$I$6,MATCH(RAB!C61,'HARGA SATUAN'!$C$7:$C$1495,0),0)),0,OFFSET('HARGA SATUAN'!$I$6,MATCH(RAB!C61,'HARGA SATUAN'!$C$7:$C$1495,0),0))</f>
        <v>176900</v>
      </c>
      <c r="H61" s="307">
        <f t="shared" ca="1" si="26"/>
        <v>353800</v>
      </c>
      <c r="I61" s="307">
        <f t="shared" ca="1" si="27"/>
        <v>0</v>
      </c>
      <c r="J61" s="307">
        <f t="shared" ca="1" si="28"/>
        <v>0</v>
      </c>
      <c r="K61" s="308">
        <f t="shared" ca="1" si="29"/>
        <v>353800</v>
      </c>
      <c r="L61" s="314"/>
      <c r="M61" s="288" t="str">
        <f t="shared" ref="M61:M69" ca="1" si="30">IF(AND(F61&gt;0,F60=0),"",IF(AND(ISBLANK(F61)=FALSE,K61=0),"WARNING",""))</f>
        <v/>
      </c>
      <c r="N61" s="314"/>
      <c r="O61" s="309"/>
      <c r="P61" s="309"/>
      <c r="Q61" s="290"/>
      <c r="R61" s="282"/>
      <c r="S61" s="310"/>
      <c r="T61" s="287"/>
      <c r="U61" s="287"/>
      <c r="V61" s="287"/>
    </row>
    <row r="62" spans="1:22" s="315" customFormat="1">
      <c r="A62" s="282"/>
      <c r="B62" s="316">
        <v>2</v>
      </c>
      <c r="C62" s="317" t="s">
        <v>28</v>
      </c>
      <c r="D62" s="304" t="str">
        <f ca="1">IF(ISERROR(OFFSET('HARGA SATUAN'!$D$6,MATCH(RAB!C62,'HARGA SATUAN'!$C$7:$C$1495,0),0)),"",OFFSET('HARGA SATUAN'!$D$6,MATCH(RAB!C62,'HARGA SATUAN'!$C$7:$C$1495,0),0))</f>
        <v>HDW</v>
      </c>
      <c r="E62" s="305" t="str">
        <f ca="1">IF(B62="+","Unit",IF(ISERROR(OFFSET('HARGA SATUAN'!$E$6,MATCH(RAB!C62,'HARGA SATUAN'!$C$7:$C$1495,0),0)),"",OFFSET('HARGA SATUAN'!$E$6,MATCH(RAB!C62,'HARGA SATUAN'!$C$7:$C$1495,0),0)))</f>
        <v>Bh</v>
      </c>
      <c r="F62" s="509">
        <f>F60*2</f>
        <v>4</v>
      </c>
      <c r="G62" s="306">
        <f ca="1">IF(ISERROR(OFFSET('HARGA SATUAN'!$I$6,MATCH(RAB!C62,'HARGA SATUAN'!$C$7:$C$1495,0),0)),0,OFFSET('HARGA SATUAN'!$I$6,MATCH(RAB!C62,'HARGA SATUAN'!$C$7:$C$1495,0),0))</f>
        <v>26500</v>
      </c>
      <c r="H62" s="307">
        <f t="shared" ca="1" si="26"/>
        <v>0</v>
      </c>
      <c r="I62" s="307">
        <f t="shared" ca="1" si="27"/>
        <v>106000</v>
      </c>
      <c r="J62" s="307">
        <f t="shared" ca="1" si="28"/>
        <v>0</v>
      </c>
      <c r="K62" s="308">
        <f t="shared" ca="1" si="29"/>
        <v>106000</v>
      </c>
      <c r="L62" s="314"/>
      <c r="M62" s="288" t="str">
        <f t="shared" ca="1" si="30"/>
        <v/>
      </c>
      <c r="N62" s="314"/>
      <c r="O62" s="309"/>
      <c r="P62" s="309"/>
      <c r="Q62" s="290"/>
      <c r="R62" s="282"/>
      <c r="S62" s="310"/>
      <c r="T62" s="287"/>
      <c r="U62" s="287"/>
      <c r="V62" s="287"/>
    </row>
    <row r="63" spans="1:22" s="315" customFormat="1">
      <c r="A63" s="282"/>
      <c r="B63" s="316">
        <v>3</v>
      </c>
      <c r="C63" s="317" t="s">
        <v>178</v>
      </c>
      <c r="D63" s="304" t="str">
        <f ca="1">IF(ISERROR(OFFSET('HARGA SATUAN'!$D$6,MATCH(RAB!C63,'HARGA SATUAN'!$C$7:$C$1495,0),0)),"",OFFSET('HARGA SATUAN'!$D$6,MATCH(RAB!C63,'HARGA SATUAN'!$C$7:$C$1495,0),0))</f>
        <v>HDW</v>
      </c>
      <c r="E63" s="305" t="str">
        <f ca="1">IF(B63="+","Unit",IF(ISERROR(OFFSET('HARGA SATUAN'!$E$6,MATCH(RAB!C63,'HARGA SATUAN'!$C$7:$C$1495,0),0)),"",OFFSET('HARGA SATUAN'!$E$6,MATCH(RAB!C63,'HARGA SATUAN'!$C$7:$C$1495,0),0)))</f>
        <v>Bh</v>
      </c>
      <c r="F63" s="495">
        <f>F60*1</f>
        <v>2</v>
      </c>
      <c r="G63" s="306">
        <f ca="1">IF(ISERROR(OFFSET('HARGA SATUAN'!$I$6,MATCH(RAB!C63,'HARGA SATUAN'!$C$7:$C$1495,0),0)),0,OFFSET('HARGA SATUAN'!$I$6,MATCH(RAB!C63,'HARGA SATUAN'!$C$7:$C$1495,0),0))</f>
        <v>95000</v>
      </c>
      <c r="H63" s="307">
        <f t="shared" ca="1" si="26"/>
        <v>0</v>
      </c>
      <c r="I63" s="307">
        <f t="shared" ca="1" si="27"/>
        <v>190000</v>
      </c>
      <c r="J63" s="307">
        <f t="shared" ca="1" si="28"/>
        <v>0</v>
      </c>
      <c r="K63" s="308">
        <f t="shared" ca="1" si="29"/>
        <v>190000</v>
      </c>
      <c r="L63" s="314"/>
      <c r="M63" s="288" t="str">
        <f t="shared" ca="1" si="30"/>
        <v/>
      </c>
      <c r="N63" s="314"/>
      <c r="O63" s="309"/>
      <c r="P63" s="309"/>
      <c r="Q63" s="290"/>
      <c r="R63" s="282"/>
      <c r="S63" s="310"/>
      <c r="T63" s="287"/>
      <c r="U63" s="287"/>
      <c r="V63" s="287"/>
    </row>
    <row r="64" spans="1:22" s="315" customFormat="1">
      <c r="A64" s="282"/>
      <c r="B64" s="316">
        <v>4</v>
      </c>
      <c r="C64" s="317" t="s">
        <v>217</v>
      </c>
      <c r="D64" s="304" t="str">
        <f ca="1">IF(ISERROR(OFFSET('HARGA SATUAN'!$D$6,MATCH(RAB!C64,'HARGA SATUAN'!$C$7:$C$1495,0),0)),"",OFFSET('HARGA SATUAN'!$D$6,MATCH(RAB!C64,'HARGA SATUAN'!$C$7:$C$1495,0),0))</f>
        <v>HDW</v>
      </c>
      <c r="E64" s="305" t="str">
        <f ca="1">IF(B64="+","Unit",IF(ISERROR(OFFSET('HARGA SATUAN'!$E$6,MATCH(RAB!C64,'HARGA SATUAN'!$C$7:$C$1495,0),0)),"",OFFSET('HARGA SATUAN'!$E$6,MATCH(RAB!C64,'HARGA SATUAN'!$C$7:$C$1495,0),0)))</f>
        <v>Bh</v>
      </c>
      <c r="F64" s="495">
        <f>F60*2</f>
        <v>4</v>
      </c>
      <c r="G64" s="306">
        <f ca="1">IF(ISERROR(OFFSET('HARGA SATUAN'!$I$6,MATCH(RAB!C64,'HARGA SATUAN'!$C$7:$C$1495,0),0)),0,OFFSET('HARGA SATUAN'!$I$6,MATCH(RAB!C64,'HARGA SATUAN'!$C$7:$C$1495,0),0))</f>
        <v>11400</v>
      </c>
      <c r="H64" s="307">
        <f t="shared" ca="1" si="26"/>
        <v>0</v>
      </c>
      <c r="I64" s="307">
        <f t="shared" ca="1" si="27"/>
        <v>45600</v>
      </c>
      <c r="J64" s="307">
        <f t="shared" ca="1" si="28"/>
        <v>0</v>
      </c>
      <c r="K64" s="308">
        <f t="shared" ca="1" si="29"/>
        <v>45600</v>
      </c>
      <c r="L64" s="314"/>
      <c r="M64" s="288" t="str">
        <f t="shared" ca="1" si="30"/>
        <v/>
      </c>
      <c r="N64" s="314"/>
      <c r="O64" s="309"/>
      <c r="P64" s="309"/>
      <c r="Q64" s="290"/>
      <c r="R64" s="282"/>
      <c r="S64" s="310"/>
      <c r="T64" s="287"/>
      <c r="U64" s="287"/>
      <c r="V64" s="287"/>
    </row>
    <row r="65" spans="1:22" s="315" customFormat="1">
      <c r="A65" s="282"/>
      <c r="B65" s="316">
        <v>5</v>
      </c>
      <c r="C65" s="317" t="s">
        <v>254</v>
      </c>
      <c r="D65" s="304" t="str">
        <f ca="1">IF(ISERROR(OFFSET('HARGA SATUAN'!$D$6,MATCH(RAB!C65,'HARGA SATUAN'!$C$7:$C$1495,0),0)),"",OFFSET('HARGA SATUAN'!$D$6,MATCH(RAB!C65,'HARGA SATUAN'!$C$7:$C$1495,0),0))</f>
        <v>HDW</v>
      </c>
      <c r="E65" s="305" t="str">
        <f ca="1">IF(B65="+","Unit",IF(ISERROR(OFFSET('HARGA SATUAN'!$E$6,MATCH(RAB!C65,'HARGA SATUAN'!$C$7:$C$1495,0),0)),"",OFFSET('HARGA SATUAN'!$E$6,MATCH(RAB!C65,'HARGA SATUAN'!$C$7:$C$1495,0),0)))</f>
        <v>Bh</v>
      </c>
      <c r="F65" s="495">
        <f>F60*1</f>
        <v>2</v>
      </c>
      <c r="G65" s="306">
        <f ca="1">IF(ISERROR(OFFSET('HARGA SATUAN'!$I$6,MATCH(RAB!C65,'HARGA SATUAN'!$C$7:$C$1495,0),0)),0,OFFSET('HARGA SATUAN'!$I$6,MATCH(RAB!C65,'HARGA SATUAN'!$C$7:$C$1495,0),0))</f>
        <v>51100</v>
      </c>
      <c r="H65" s="307">
        <f t="shared" ca="1" si="26"/>
        <v>0</v>
      </c>
      <c r="I65" s="307">
        <f t="shared" ca="1" si="27"/>
        <v>102200</v>
      </c>
      <c r="J65" s="307">
        <f t="shared" ca="1" si="28"/>
        <v>0</v>
      </c>
      <c r="K65" s="308">
        <f t="shared" ca="1" si="29"/>
        <v>102200</v>
      </c>
      <c r="L65" s="314"/>
      <c r="M65" s="288" t="str">
        <f t="shared" ca="1" si="30"/>
        <v/>
      </c>
      <c r="N65" s="314"/>
      <c r="O65" s="309"/>
      <c r="P65" s="309"/>
      <c r="Q65" s="290"/>
      <c r="R65" s="282"/>
      <c r="S65" s="310"/>
      <c r="T65" s="287"/>
      <c r="U65" s="287"/>
      <c r="V65" s="287"/>
    </row>
    <row r="66" spans="1:22" s="315" customFormat="1">
      <c r="A66" s="282"/>
      <c r="B66" s="316">
        <v>6</v>
      </c>
      <c r="C66" s="317" t="s">
        <v>264</v>
      </c>
      <c r="D66" s="304" t="str">
        <f ca="1">IF(ISERROR(OFFSET('HARGA SATUAN'!$D$6,MATCH(RAB!C66,'HARGA SATUAN'!$C$7:$C$1495,0),0)),"",OFFSET('HARGA SATUAN'!$D$6,MATCH(RAB!C66,'HARGA SATUAN'!$C$7:$C$1495,0),0))</f>
        <v>HDW</v>
      </c>
      <c r="E66" s="305" t="str">
        <f ca="1">IF(B66="+","Unit",IF(ISERROR(OFFSET('HARGA SATUAN'!$E$6,MATCH(RAB!C66,'HARGA SATUAN'!$C$7:$C$1495,0),0)),"",OFFSET('HARGA SATUAN'!$E$6,MATCH(RAB!C66,'HARGA SATUAN'!$C$7:$C$1495,0),0)))</f>
        <v>Bh</v>
      </c>
      <c r="F66" s="495">
        <f>F60*1</f>
        <v>2</v>
      </c>
      <c r="G66" s="306">
        <f ca="1">IF(ISERROR(OFFSET('HARGA SATUAN'!$I$6,MATCH(RAB!C66,'HARGA SATUAN'!$C$7:$C$1495,0),0)),0,OFFSET('HARGA SATUAN'!$I$6,MATCH(RAB!C66,'HARGA SATUAN'!$C$7:$C$1495,0),0))</f>
        <v>28000</v>
      </c>
      <c r="H66" s="307">
        <f t="shared" ca="1" si="26"/>
        <v>0</v>
      </c>
      <c r="I66" s="307">
        <f t="shared" ca="1" si="27"/>
        <v>56000</v>
      </c>
      <c r="J66" s="307">
        <f t="shared" ca="1" si="28"/>
        <v>0</v>
      </c>
      <c r="K66" s="308">
        <f t="shared" ca="1" si="29"/>
        <v>56000</v>
      </c>
      <c r="L66" s="314"/>
      <c r="M66" s="288" t="str">
        <f t="shared" ca="1" si="30"/>
        <v/>
      </c>
      <c r="N66" s="314"/>
      <c r="O66" s="309"/>
      <c r="P66" s="309"/>
      <c r="Q66" s="290"/>
      <c r="R66" s="282"/>
      <c r="S66" s="310"/>
      <c r="T66" s="287"/>
      <c r="U66" s="287"/>
      <c r="V66" s="287"/>
    </row>
    <row r="67" spans="1:22" s="315" customFormat="1">
      <c r="A67" s="282"/>
      <c r="B67" s="316">
        <v>7</v>
      </c>
      <c r="C67" s="317" t="s">
        <v>38</v>
      </c>
      <c r="D67" s="304" t="str">
        <f ca="1">IF(ISERROR(OFFSET('HARGA SATUAN'!$D$6,MATCH(RAB!C67,'HARGA SATUAN'!$C$7:$C$1495,0),0)),"",OFFSET('HARGA SATUAN'!$D$6,MATCH(RAB!C67,'HARGA SATUAN'!$C$7:$C$1495,0),0))</f>
        <v>HDW</v>
      </c>
      <c r="E67" s="305" t="str">
        <f ca="1">IF(B67="+","Unit",IF(ISERROR(OFFSET('HARGA SATUAN'!$E$6,MATCH(RAB!C67,'HARGA SATUAN'!$C$7:$C$1495,0),0)),"",OFFSET('HARGA SATUAN'!$E$6,MATCH(RAB!C67,'HARGA SATUAN'!$C$7:$C$1495,0),0)))</f>
        <v>Mtr</v>
      </c>
      <c r="F67" s="495">
        <f>2.6*F60</f>
        <v>5.2</v>
      </c>
      <c r="G67" s="306">
        <f ca="1">IF(ISERROR(OFFSET('HARGA SATUAN'!$I$6,MATCH(RAB!C67,'HARGA SATUAN'!$C$7:$C$1495,0),0)),0,OFFSET('HARGA SATUAN'!$I$6,MATCH(RAB!C67,'HARGA SATUAN'!$C$7:$C$1495,0),0))</f>
        <v>8550</v>
      </c>
      <c r="H67" s="307">
        <f t="shared" ca="1" si="26"/>
        <v>0</v>
      </c>
      <c r="I67" s="307">
        <f t="shared" ca="1" si="27"/>
        <v>44460</v>
      </c>
      <c r="J67" s="307">
        <f t="shared" ca="1" si="28"/>
        <v>0</v>
      </c>
      <c r="K67" s="308">
        <f t="shared" ca="1" si="29"/>
        <v>44460</v>
      </c>
      <c r="L67" s="314"/>
      <c r="M67" s="288" t="str">
        <f t="shared" ca="1" si="30"/>
        <v/>
      </c>
      <c r="N67" s="314"/>
      <c r="O67" s="309"/>
      <c r="P67" s="309"/>
      <c r="Q67" s="290"/>
      <c r="R67" s="282"/>
      <c r="S67" s="310"/>
      <c r="T67" s="287"/>
      <c r="U67" s="287"/>
      <c r="V67" s="287"/>
    </row>
    <row r="68" spans="1:22" s="315" customFormat="1">
      <c r="A68" s="282"/>
      <c r="B68" s="316">
        <v>8</v>
      </c>
      <c r="C68" s="317" t="s">
        <v>26</v>
      </c>
      <c r="D68" s="304" t="str">
        <f ca="1">IF(ISERROR(OFFSET('HARGA SATUAN'!$D$6,MATCH(RAB!C68,'HARGA SATUAN'!$C$7:$C$1495,0),0)),"",OFFSET('HARGA SATUAN'!$D$6,MATCH(RAB!C68,'HARGA SATUAN'!$C$7:$C$1495,0),0))</f>
        <v>HDW</v>
      </c>
      <c r="E68" s="305" t="str">
        <f ca="1">IF(B68="+","Unit",IF(ISERROR(OFFSET('HARGA SATUAN'!$E$6,MATCH(RAB!C68,'HARGA SATUAN'!$C$7:$C$1495,0),0)),"",OFFSET('HARGA SATUAN'!$E$6,MATCH(RAB!C68,'HARGA SATUAN'!$C$7:$C$1495,0),0)))</f>
        <v>Bh</v>
      </c>
      <c r="F68" s="495">
        <f>F60*2</f>
        <v>4</v>
      </c>
      <c r="G68" s="306">
        <f ca="1">IF(ISERROR(OFFSET('HARGA SATUAN'!$I$6,MATCH(RAB!C68,'HARGA SATUAN'!$C$7:$C$1495,0),0)),0,OFFSET('HARGA SATUAN'!$I$6,MATCH(RAB!C68,'HARGA SATUAN'!$C$7:$C$1495,0),0))</f>
        <v>2500</v>
      </c>
      <c r="H68" s="307">
        <f t="shared" ca="1" si="26"/>
        <v>0</v>
      </c>
      <c r="I68" s="307">
        <f t="shared" ca="1" si="27"/>
        <v>10000</v>
      </c>
      <c r="J68" s="307">
        <f t="shared" ca="1" si="28"/>
        <v>0</v>
      </c>
      <c r="K68" s="308">
        <f t="shared" ca="1" si="29"/>
        <v>10000</v>
      </c>
      <c r="L68" s="314"/>
      <c r="M68" s="288" t="str">
        <f t="shared" ca="1" si="30"/>
        <v/>
      </c>
      <c r="N68" s="314"/>
      <c r="O68" s="309"/>
      <c r="P68" s="309"/>
      <c r="Q68" s="290"/>
      <c r="R68" s="282"/>
      <c r="S68" s="310"/>
      <c r="T68" s="287"/>
      <c r="U68" s="287"/>
      <c r="V68" s="287"/>
    </row>
    <row r="69" spans="1:22" s="315" customFormat="1">
      <c r="A69" s="282"/>
      <c r="B69" s="316">
        <v>9</v>
      </c>
      <c r="C69" s="317" t="s">
        <v>641</v>
      </c>
      <c r="D69" s="304" t="str">
        <f ca="1">IF(ISERROR(OFFSET('HARGA SATUAN'!$D$6,MATCH(RAB!C69,'HARGA SATUAN'!$C$7:$C$1495,0),0)),"",OFFSET('HARGA SATUAN'!$D$6,MATCH(RAB!C69,'HARGA SATUAN'!$C$7:$C$1495,0),0))</f>
        <v>JASA</v>
      </c>
      <c r="E69" s="305" t="str">
        <f ca="1">IF(B69="+","Unit",IF(ISERROR(OFFSET('HARGA SATUAN'!$E$6,MATCH(RAB!C69,'HARGA SATUAN'!$C$7:$C$1495,0),0)),"",OFFSET('HARGA SATUAN'!$E$6,MATCH(RAB!C69,'HARGA SATUAN'!$C$7:$C$1495,0),0)))</f>
        <v>Unit</v>
      </c>
      <c r="F69" s="509">
        <f>F60*1</f>
        <v>2</v>
      </c>
      <c r="G69" s="306">
        <f ca="1">IF(ISERROR(OFFSET('HARGA SATUAN'!$I$6,MATCH(RAB!C69,'HARGA SATUAN'!$C$7:$C$1495,0),0)),0,OFFSET('HARGA SATUAN'!$I$6,MATCH(RAB!C69,'HARGA SATUAN'!$C$7:$C$1495,0),0))</f>
        <v>53200</v>
      </c>
      <c r="H69" s="307">
        <f t="shared" ca="1" si="26"/>
        <v>0</v>
      </c>
      <c r="I69" s="307">
        <f t="shared" ca="1" si="27"/>
        <v>0</v>
      </c>
      <c r="J69" s="307">
        <f t="shared" ca="1" si="28"/>
        <v>106400</v>
      </c>
      <c r="K69" s="308">
        <f t="shared" ca="1" si="29"/>
        <v>106400</v>
      </c>
      <c r="L69" s="314"/>
      <c r="M69" s="288" t="str">
        <f t="shared" ca="1" si="30"/>
        <v/>
      </c>
      <c r="N69" s="314"/>
      <c r="O69" s="309"/>
      <c r="P69" s="309"/>
      <c r="Q69" s="290"/>
      <c r="R69" s="282"/>
      <c r="S69" s="310"/>
      <c r="T69" s="287"/>
      <c r="U69" s="287"/>
      <c r="V69" s="287"/>
    </row>
    <row r="70" spans="1:22" s="315" customFormat="1">
      <c r="A70" s="282"/>
      <c r="B70" s="316"/>
      <c r="C70" s="317"/>
      <c r="D70" s="304"/>
      <c r="E70" s="305"/>
      <c r="F70" s="495"/>
      <c r="G70" s="306"/>
      <c r="H70" s="307"/>
      <c r="I70" s="307"/>
      <c r="J70" s="307"/>
      <c r="K70" s="308"/>
      <c r="L70" s="314"/>
      <c r="M70" s="288" t="e">
        <f>IF(AND(F70&gt;0,#REF!=0),"",IF(AND(ISBLANK(F70)=FALSE,K70=0),"WARNING",""))</f>
        <v>#REF!</v>
      </c>
      <c r="N70" s="314"/>
      <c r="O70" s="309"/>
      <c r="P70" s="309"/>
      <c r="Q70" s="290"/>
      <c r="R70" s="282"/>
      <c r="S70" s="310"/>
      <c r="T70" s="287"/>
      <c r="U70" s="287"/>
      <c r="V70" s="287"/>
    </row>
    <row r="71" spans="1:22" s="315" customFormat="1">
      <c r="A71" s="282"/>
      <c r="B71" s="486" t="s">
        <v>1035</v>
      </c>
      <c r="C71" s="487" t="s">
        <v>1632</v>
      </c>
      <c r="D71" s="304" t="str">
        <f ca="1">IF(ISERROR(OFFSET('HARGA SATUAN'!$D$6,MATCH(RAB!C71,'HARGA SATUAN'!$C$7:$C$1495,0),0)),"",OFFSET('HARGA SATUAN'!$D$6,MATCH(RAB!C71,'HARGA SATUAN'!$C$7:$C$1495,0),0))</f>
        <v/>
      </c>
      <c r="E71" s="305" t="str">
        <f ca="1">IF(B71="+","Unit",IF(ISERROR(OFFSET('HARGA SATUAN'!$E$6,MATCH(RAB!C71,'HARGA SATUAN'!$C$7:$C$1495,0),0)),"",OFFSET('HARGA SATUAN'!$E$6,MATCH(RAB!C71,'HARGA SATUAN'!$C$7:$C$1495,0),0)))</f>
        <v>Unit</v>
      </c>
      <c r="F71" s="495">
        <v>1</v>
      </c>
      <c r="G71" s="306">
        <f ca="1">IF(ISERROR(OFFSET('HARGA SATUAN'!$I$6,MATCH(RAB!C71,'HARGA SATUAN'!$C$7:$C$1495,0),0)),0,OFFSET('HARGA SATUAN'!$I$6,MATCH(RAB!C71,'HARGA SATUAN'!$C$7:$C$1495,0),0))</f>
        <v>0</v>
      </c>
      <c r="H71" s="307">
        <f t="shared" ref="H71:H99" ca="1" si="31">IF(OR(D71="MDU",D71="MDU-KD"),(IF($O$3="RAB NON MDU","PLN KD",G71*F71)),0)</f>
        <v>0</v>
      </c>
      <c r="I71" s="307">
        <f t="shared" ref="I71:I99" ca="1" si="32">IF(D71="HDW",G71*F71,0)</f>
        <v>0</v>
      </c>
      <c r="J71" s="307">
        <f t="shared" ref="J71:J99" ca="1" si="33">IF(D71="JASA",G71*F71,0)</f>
        <v>0</v>
      </c>
      <c r="K71" s="308">
        <f t="shared" ref="K71:K99" ca="1" si="34">SUM(H71:J71)</f>
        <v>0</v>
      </c>
      <c r="L71" s="314"/>
      <c r="M71" s="288" t="e">
        <f>IF(AND(F71&gt;0,#REF!=0),"",IF(AND(ISBLANK(F71)=FALSE,K71=0),"WARNING",""))</f>
        <v>#REF!</v>
      </c>
      <c r="N71" s="314"/>
      <c r="O71" s="309"/>
      <c r="P71" s="309"/>
      <c r="Q71" s="290"/>
      <c r="R71" s="282"/>
      <c r="S71" s="310"/>
      <c r="T71" s="287"/>
      <c r="U71" s="287"/>
      <c r="V71" s="287"/>
    </row>
    <row r="72" spans="1:22" s="315" customFormat="1">
      <c r="A72" s="282"/>
      <c r="B72" s="486">
        <v>1</v>
      </c>
      <c r="C72" s="487" t="s">
        <v>532</v>
      </c>
      <c r="D72" s="304" t="str">
        <f ca="1">IF(ISERROR(OFFSET('HARGA SATUAN'!$D$6,MATCH(RAB!C72,'HARGA SATUAN'!$C$7:$C$1495,0),0)),"",OFFSET('HARGA SATUAN'!$D$6,MATCH(RAB!C72,'HARGA SATUAN'!$C$7:$C$1495,0),0))</f>
        <v>MDU-KD</v>
      </c>
      <c r="E72" s="305" t="str">
        <f ca="1">IF(B72="+","Unit",IF(ISERROR(OFFSET('HARGA SATUAN'!$E$6,MATCH(RAB!C72,'HARGA SATUAN'!$C$7:$C$1495,0),0)),"",OFFSET('HARGA SATUAN'!$E$6,MATCH(RAB!C72,'HARGA SATUAN'!$C$7:$C$1495,0),0)))</f>
        <v>Bh</v>
      </c>
      <c r="F72" s="495">
        <f>F71*1</f>
        <v>1</v>
      </c>
      <c r="G72" s="306">
        <f ca="1">IF(ISERROR(OFFSET('HARGA SATUAN'!$I$6,MATCH(RAB!C72,'HARGA SATUAN'!$C$7:$C$1495,0),0)),0,OFFSET('HARGA SATUAN'!$I$6,MATCH(RAB!C72,'HARGA SATUAN'!$C$7:$C$1495,0),0))</f>
        <v>27845400</v>
      </c>
      <c r="H72" s="307">
        <f t="shared" ca="1" si="31"/>
        <v>27845400</v>
      </c>
      <c r="I72" s="307">
        <f t="shared" ca="1" si="32"/>
        <v>0</v>
      </c>
      <c r="J72" s="307">
        <f t="shared" ca="1" si="33"/>
        <v>0</v>
      </c>
      <c r="K72" s="308">
        <f t="shared" ca="1" si="34"/>
        <v>27845400</v>
      </c>
      <c r="L72" s="314"/>
      <c r="M72" s="288" t="str">
        <f t="shared" ca="1" si="8"/>
        <v/>
      </c>
      <c r="N72" s="314"/>
      <c r="O72" s="309"/>
      <c r="P72" s="309"/>
      <c r="Q72" s="290"/>
      <c r="R72" s="282"/>
      <c r="S72" s="310"/>
      <c r="T72" s="287"/>
      <c r="U72" s="287"/>
      <c r="V72" s="287"/>
    </row>
    <row r="73" spans="1:22" s="315" customFormat="1">
      <c r="A73" s="282"/>
      <c r="B73" s="416">
        <v>2</v>
      </c>
      <c r="C73" s="413" t="s">
        <v>1633</v>
      </c>
      <c r="D73" s="304" t="str">
        <f ca="1">IF(ISERROR(OFFSET('HARGA SATUAN'!$D$6,MATCH(RAB!C73,'HARGA SATUAN'!$C$7:$C$1495,0),0)),"",OFFSET('HARGA SATUAN'!$D$6,MATCH(RAB!C73,'HARGA SATUAN'!$C$7:$C$1495,0),0))</f>
        <v/>
      </c>
      <c r="E73" s="305" t="str">
        <f ca="1">IF(B73="+","Unit",IF(ISERROR(OFFSET('HARGA SATUAN'!$E$6,MATCH(RAB!C73,'HARGA SATUAN'!$C$7:$C$1495,0),0)),"",OFFSET('HARGA SATUAN'!$E$6,MATCH(RAB!C73,'HARGA SATUAN'!$C$7:$C$1495,0),0)))</f>
        <v/>
      </c>
      <c r="F73" s="495"/>
      <c r="G73" s="306">
        <f ca="1">IF(ISERROR(OFFSET('HARGA SATUAN'!$I$6,MATCH(RAB!C73,'HARGA SATUAN'!$C$7:$C$1495,0),0)),0,OFFSET('HARGA SATUAN'!$I$6,MATCH(RAB!C73,'HARGA SATUAN'!$C$7:$C$1495,0),0))</f>
        <v>0</v>
      </c>
      <c r="H73" s="307">
        <f t="shared" ca="1" si="31"/>
        <v>0</v>
      </c>
      <c r="I73" s="307">
        <f t="shared" ca="1" si="32"/>
        <v>0</v>
      </c>
      <c r="J73" s="307">
        <f t="shared" ca="1" si="33"/>
        <v>0</v>
      </c>
      <c r="K73" s="308">
        <f t="shared" ca="1" si="34"/>
        <v>0</v>
      </c>
      <c r="L73" s="314"/>
      <c r="M73" s="288" t="str">
        <f t="shared" ref="M73:M128" ca="1" si="35">IF(AND(F73&gt;0,F72=0),"",IF(AND(ISBLANK(F73)=FALSE,K73=0),"WARNING",""))</f>
        <v/>
      </c>
      <c r="N73" s="314"/>
      <c r="O73" s="309"/>
      <c r="P73" s="309"/>
      <c r="Q73" s="290"/>
      <c r="R73" s="282"/>
      <c r="S73" s="310"/>
      <c r="T73" s="287"/>
      <c r="U73" s="287"/>
      <c r="V73" s="287"/>
    </row>
    <row r="74" spans="1:22" s="315" customFormat="1">
      <c r="A74" s="282"/>
      <c r="B74" s="416"/>
      <c r="C74" s="413" t="s">
        <v>65</v>
      </c>
      <c r="D74" s="304" t="str">
        <f ca="1">IF(ISERROR(OFFSET('HARGA SATUAN'!$D$6,MATCH(RAB!C74,'HARGA SATUAN'!$C$7:$C$1495,0),0)),"",OFFSET('HARGA SATUAN'!$D$6,MATCH(RAB!C74,'HARGA SATUAN'!$C$7:$C$1495,0),0))</f>
        <v>MDU-KD</v>
      </c>
      <c r="E74" s="305" t="str">
        <f ca="1">IF(B74="+","Unit",IF(ISERROR(OFFSET('HARGA SATUAN'!$E$6,MATCH(RAB!C74,'HARGA SATUAN'!$C$7:$C$1495,0),0)),"",OFFSET('HARGA SATUAN'!$E$6,MATCH(RAB!C74,'HARGA SATUAN'!$C$7:$C$1495,0),0)))</f>
        <v>Mtr</v>
      </c>
      <c r="F74" s="495">
        <f>F71*2</f>
        <v>2</v>
      </c>
      <c r="G74" s="306">
        <f ca="1">IF(ISERROR(OFFSET('HARGA SATUAN'!$I$6,MATCH(RAB!C74,'HARGA SATUAN'!$C$7:$C$1495,0),0)),0,OFFSET('HARGA SATUAN'!$I$6,MATCH(RAB!C74,'HARGA SATUAN'!$C$7:$C$1495,0),0))</f>
        <v>14200</v>
      </c>
      <c r="H74" s="307">
        <f t="shared" ca="1" si="31"/>
        <v>28400</v>
      </c>
      <c r="I74" s="307">
        <f t="shared" ca="1" si="32"/>
        <v>0</v>
      </c>
      <c r="J74" s="307">
        <f t="shared" ca="1" si="33"/>
        <v>0</v>
      </c>
      <c r="K74" s="308">
        <f t="shared" ca="1" si="34"/>
        <v>28400</v>
      </c>
      <c r="L74" s="314"/>
      <c r="M74" s="288" t="str">
        <f t="shared" si="35"/>
        <v/>
      </c>
      <c r="N74" s="314"/>
      <c r="O74" s="309"/>
      <c r="P74" s="309"/>
      <c r="Q74" s="290"/>
      <c r="R74" s="282"/>
      <c r="S74" s="310"/>
      <c r="T74" s="287"/>
      <c r="U74" s="287"/>
      <c r="V74" s="287"/>
    </row>
    <row r="75" spans="1:22" s="315" customFormat="1">
      <c r="A75" s="282"/>
      <c r="B75" s="316"/>
      <c r="C75" s="317" t="s">
        <v>1634</v>
      </c>
      <c r="D75" s="304" t="str">
        <f ca="1">IF(ISERROR(OFFSET('HARGA SATUAN'!$D$6,MATCH(RAB!C75,'HARGA SATUAN'!$C$7:$C$1495,0),0)),"",OFFSET('HARGA SATUAN'!$D$6,MATCH(RAB!C75,'HARGA SATUAN'!$C$7:$C$1495,0),0))</f>
        <v>MDU-KD</v>
      </c>
      <c r="E75" s="305" t="str">
        <f ca="1">IF(B75="+","Unit",IF(ISERROR(OFFSET('HARGA SATUAN'!$E$6,MATCH(RAB!C75,'HARGA SATUAN'!$C$7:$C$1495,0),0)),"",OFFSET('HARGA SATUAN'!$E$6,MATCH(RAB!C75,'HARGA SATUAN'!$C$7:$C$1495,0),0)))</f>
        <v>Mtr</v>
      </c>
      <c r="F75" s="495">
        <f>F71*2</f>
        <v>2</v>
      </c>
      <c r="G75" s="306">
        <f ca="1">IF(ISERROR(OFFSET('HARGA SATUAN'!$I$6,MATCH(RAB!C75,'HARGA SATUAN'!$C$7:$C$1495,0),0)),0,OFFSET('HARGA SATUAN'!$I$6,MATCH(RAB!C75,'HARGA SATUAN'!$C$7:$C$1495,0),0))</f>
        <v>53300</v>
      </c>
      <c r="H75" s="307">
        <f t="shared" ca="1" si="31"/>
        <v>106600</v>
      </c>
      <c r="I75" s="307">
        <f t="shared" ca="1" si="32"/>
        <v>0</v>
      </c>
      <c r="J75" s="307">
        <f t="shared" ca="1" si="33"/>
        <v>0</v>
      </c>
      <c r="K75" s="308">
        <f t="shared" ca="1" si="34"/>
        <v>106600</v>
      </c>
      <c r="L75" s="314"/>
      <c r="M75" s="288" t="str">
        <f t="shared" ca="1" si="35"/>
        <v/>
      </c>
      <c r="N75" s="314"/>
      <c r="O75" s="309"/>
      <c r="P75" s="309"/>
      <c r="Q75" s="290"/>
      <c r="R75" s="282"/>
      <c r="S75" s="310"/>
      <c r="T75" s="287"/>
      <c r="U75" s="287"/>
      <c r="V75" s="287"/>
    </row>
    <row r="76" spans="1:22" s="315" customFormat="1">
      <c r="A76" s="282"/>
      <c r="B76" s="316">
        <v>3</v>
      </c>
      <c r="C76" s="317" t="s">
        <v>207</v>
      </c>
      <c r="D76" s="304" t="str">
        <f ca="1">IF(ISERROR(OFFSET('HARGA SATUAN'!$D$6,MATCH(RAB!C76,'HARGA SATUAN'!$C$7:$C$1495,0),0)),"",OFFSET('HARGA SATUAN'!$D$6,MATCH(RAB!C76,'HARGA SATUAN'!$C$7:$C$1495,0),0))</f>
        <v>HDW</v>
      </c>
      <c r="E76" s="305" t="str">
        <f ca="1">IF(B76="+","Unit",IF(ISERROR(OFFSET('HARGA SATUAN'!$E$6,MATCH(RAB!C76,'HARGA SATUAN'!$C$7:$C$1495,0),0)),"",OFFSET('HARGA SATUAN'!$E$6,MATCH(RAB!C76,'HARGA SATUAN'!$C$7:$C$1495,0),0)))</f>
        <v>Bh</v>
      </c>
      <c r="F76" s="495">
        <f>F71*1</f>
        <v>1</v>
      </c>
      <c r="G76" s="306">
        <f ca="1">IF(ISERROR(OFFSET('HARGA SATUAN'!$I$6,MATCH(RAB!C76,'HARGA SATUAN'!$C$7:$C$1495,0),0)),0,OFFSET('HARGA SATUAN'!$I$6,MATCH(RAB!C76,'HARGA SATUAN'!$C$7:$C$1495,0),0))</f>
        <v>87000</v>
      </c>
      <c r="H76" s="307">
        <f t="shared" ca="1" si="31"/>
        <v>0</v>
      </c>
      <c r="I76" s="307">
        <f t="shared" ca="1" si="32"/>
        <v>87000</v>
      </c>
      <c r="J76" s="307">
        <f t="shared" ca="1" si="33"/>
        <v>0</v>
      </c>
      <c r="K76" s="308">
        <f t="shared" ca="1" si="34"/>
        <v>87000</v>
      </c>
      <c r="L76" s="314"/>
      <c r="M76" s="288" t="str">
        <f t="shared" ca="1" si="35"/>
        <v/>
      </c>
      <c r="N76" s="314"/>
      <c r="O76" s="309"/>
      <c r="P76" s="309"/>
      <c r="Q76" s="290"/>
      <c r="R76" s="282"/>
      <c r="S76" s="310"/>
      <c r="T76" s="287"/>
      <c r="U76" s="287"/>
      <c r="V76" s="287"/>
    </row>
    <row r="77" spans="1:22" s="315" customFormat="1">
      <c r="A77" s="282"/>
      <c r="B77" s="316">
        <v>4</v>
      </c>
      <c r="C77" s="317" t="s">
        <v>176</v>
      </c>
      <c r="D77" s="304" t="str">
        <f ca="1">IF(ISERROR(OFFSET('HARGA SATUAN'!$D$6,MATCH(RAB!C77,'HARGA SATUAN'!$C$7:$C$1495,0),0)),"",OFFSET('HARGA SATUAN'!$D$6,MATCH(RAB!C77,'HARGA SATUAN'!$C$7:$C$1495,0),0))</f>
        <v>HDW</v>
      </c>
      <c r="E77" s="305" t="str">
        <f ca="1">IF(B77="+","Unit",IF(ISERROR(OFFSET('HARGA SATUAN'!$E$6,MATCH(RAB!C77,'HARGA SATUAN'!$C$7:$C$1495,0),0)),"",OFFSET('HARGA SATUAN'!$E$6,MATCH(RAB!C77,'HARGA SATUAN'!$C$7:$C$1495,0),0)))</f>
        <v>Bh</v>
      </c>
      <c r="F77" s="495">
        <f>F71*2</f>
        <v>2</v>
      </c>
      <c r="G77" s="306">
        <f ca="1">IF(ISERROR(OFFSET('HARGA SATUAN'!$I$6,MATCH(RAB!C77,'HARGA SATUAN'!$C$7:$C$1495,0),0)),0,OFFSET('HARGA SATUAN'!$I$6,MATCH(RAB!C77,'HARGA SATUAN'!$C$7:$C$1495,0),0))</f>
        <v>404600</v>
      </c>
      <c r="H77" s="307">
        <f t="shared" ca="1" si="31"/>
        <v>0</v>
      </c>
      <c r="I77" s="307">
        <f t="shared" ca="1" si="32"/>
        <v>809200</v>
      </c>
      <c r="J77" s="307">
        <f t="shared" ca="1" si="33"/>
        <v>0</v>
      </c>
      <c r="K77" s="308">
        <f t="shared" ca="1" si="34"/>
        <v>809200</v>
      </c>
      <c r="L77" s="314"/>
      <c r="M77" s="288" t="str">
        <f t="shared" ca="1" si="35"/>
        <v/>
      </c>
      <c r="N77" s="314"/>
      <c r="O77" s="309"/>
      <c r="P77" s="309"/>
      <c r="Q77" s="290"/>
      <c r="R77" s="282"/>
      <c r="S77" s="310"/>
      <c r="T77" s="287"/>
      <c r="U77" s="287"/>
      <c r="V77" s="287"/>
    </row>
    <row r="78" spans="1:22" s="315" customFormat="1">
      <c r="A78" s="282"/>
      <c r="B78" s="316">
        <v>5</v>
      </c>
      <c r="C78" s="317" t="s">
        <v>184</v>
      </c>
      <c r="D78" s="304" t="str">
        <f ca="1">IF(ISERROR(OFFSET('HARGA SATUAN'!$D$6,MATCH(RAB!C78,'HARGA SATUAN'!$C$7:$C$1495,0),0)),"",OFFSET('HARGA SATUAN'!$D$6,MATCH(RAB!C78,'HARGA SATUAN'!$C$7:$C$1495,0),0))</f>
        <v>HDW</v>
      </c>
      <c r="E78" s="305" t="str">
        <f ca="1">IF(B78="+","Unit",IF(ISERROR(OFFSET('HARGA SATUAN'!$E$6,MATCH(RAB!C78,'HARGA SATUAN'!$C$7:$C$1495,0),0)),"",OFFSET('HARGA SATUAN'!$E$6,MATCH(RAB!C78,'HARGA SATUAN'!$C$7:$C$1495,0),0)))</f>
        <v>Bh</v>
      </c>
      <c r="F78" s="495">
        <f>F71*3</f>
        <v>3</v>
      </c>
      <c r="G78" s="306">
        <f ca="1">IF(ISERROR(OFFSET('HARGA SATUAN'!$I$6,MATCH(RAB!C78,'HARGA SATUAN'!$C$7:$C$1495,0),0)),0,OFFSET('HARGA SATUAN'!$I$6,MATCH(RAB!C78,'HARGA SATUAN'!$C$7:$C$1495,0),0))</f>
        <v>15900</v>
      </c>
      <c r="H78" s="307">
        <f t="shared" ca="1" si="31"/>
        <v>0</v>
      </c>
      <c r="I78" s="307">
        <f t="shared" ca="1" si="32"/>
        <v>47700</v>
      </c>
      <c r="J78" s="307">
        <f t="shared" ca="1" si="33"/>
        <v>0</v>
      </c>
      <c r="K78" s="308">
        <f t="shared" ca="1" si="34"/>
        <v>47700</v>
      </c>
      <c r="L78" s="314"/>
      <c r="M78" s="288" t="str">
        <f t="shared" ca="1" si="35"/>
        <v/>
      </c>
      <c r="N78" s="314"/>
      <c r="O78" s="309"/>
      <c r="P78" s="309"/>
      <c r="Q78" s="290"/>
      <c r="R78" s="282"/>
      <c r="S78" s="310"/>
      <c r="T78" s="287"/>
      <c r="U78" s="287"/>
      <c r="V78" s="287"/>
    </row>
    <row r="79" spans="1:22" s="315" customFormat="1">
      <c r="A79" s="282"/>
      <c r="B79" s="316">
        <v>6</v>
      </c>
      <c r="C79" s="317" t="s">
        <v>187</v>
      </c>
      <c r="D79" s="304" t="str">
        <f ca="1">IF(ISERROR(OFFSET('HARGA SATUAN'!$D$6,MATCH(RAB!C79,'HARGA SATUAN'!$C$7:$C$1495,0),0)),"",OFFSET('HARGA SATUAN'!$D$6,MATCH(RAB!C79,'HARGA SATUAN'!$C$7:$C$1495,0),0))</f>
        <v>HDW</v>
      </c>
      <c r="E79" s="305" t="str">
        <f ca="1">IF(B79="+","Unit",IF(ISERROR(OFFSET('HARGA SATUAN'!$E$6,MATCH(RAB!C79,'HARGA SATUAN'!$C$7:$C$1495,0),0)),"",OFFSET('HARGA SATUAN'!$E$6,MATCH(RAB!C79,'HARGA SATUAN'!$C$7:$C$1495,0),0)))</f>
        <v>Bh</v>
      </c>
      <c r="F79" s="495">
        <f>F71*2</f>
        <v>2</v>
      </c>
      <c r="G79" s="306">
        <f ca="1">IF(ISERROR(OFFSET('HARGA SATUAN'!$I$6,MATCH(RAB!C79,'HARGA SATUAN'!$C$7:$C$1495,0),0)),0,OFFSET('HARGA SATUAN'!$I$6,MATCH(RAB!C79,'HARGA SATUAN'!$C$7:$C$1495,0),0))</f>
        <v>17100</v>
      </c>
      <c r="H79" s="307">
        <f t="shared" ca="1" si="31"/>
        <v>0</v>
      </c>
      <c r="I79" s="307">
        <f t="shared" ca="1" si="32"/>
        <v>34200</v>
      </c>
      <c r="J79" s="307">
        <f t="shared" ca="1" si="33"/>
        <v>0</v>
      </c>
      <c r="K79" s="308">
        <f t="shared" ca="1" si="34"/>
        <v>34200</v>
      </c>
      <c r="L79" s="314"/>
      <c r="M79" s="288" t="str">
        <f t="shared" ca="1" si="35"/>
        <v/>
      </c>
      <c r="N79" s="314"/>
      <c r="O79" s="309"/>
      <c r="P79" s="309"/>
      <c r="Q79" s="290"/>
      <c r="R79" s="282"/>
      <c r="S79" s="310"/>
      <c r="T79" s="287"/>
      <c r="U79" s="287"/>
      <c r="V79" s="287"/>
    </row>
    <row r="80" spans="1:22" s="315" customFormat="1">
      <c r="A80" s="282"/>
      <c r="B80" s="316">
        <v>7</v>
      </c>
      <c r="C80" s="317" t="s">
        <v>1635</v>
      </c>
      <c r="D80" s="304" t="str">
        <f ca="1">IF(ISERROR(OFFSET('HARGA SATUAN'!$D$6,MATCH(RAB!C80,'HARGA SATUAN'!$C$7:$C$1495,0),0)),"",OFFSET('HARGA SATUAN'!$D$6,MATCH(RAB!C80,'HARGA SATUAN'!$C$7:$C$1495,0),0))</f>
        <v>HDW</v>
      </c>
      <c r="E80" s="305" t="str">
        <f ca="1">IF(B80="+","Unit",IF(ISERROR(OFFSET('HARGA SATUAN'!$E$6,MATCH(RAB!C80,'HARGA SATUAN'!$C$7:$C$1495,0),0)),"",OFFSET('HARGA SATUAN'!$E$6,MATCH(RAB!C80,'HARGA SATUAN'!$C$7:$C$1495,0),0)))</f>
        <v>Bh</v>
      </c>
      <c r="F80" s="495">
        <f>F71*4</f>
        <v>4</v>
      </c>
      <c r="G80" s="306">
        <f ca="1">IF(ISERROR(OFFSET('HARGA SATUAN'!$I$6,MATCH(RAB!C80,'HARGA SATUAN'!$C$7:$C$1495,0),0)),0,OFFSET('HARGA SATUAN'!$I$6,MATCH(RAB!C80,'HARGA SATUAN'!$C$7:$C$1495,0),0))</f>
        <v>49000</v>
      </c>
      <c r="H80" s="307">
        <f t="shared" ca="1" si="31"/>
        <v>0</v>
      </c>
      <c r="I80" s="307">
        <f t="shared" ca="1" si="32"/>
        <v>196000</v>
      </c>
      <c r="J80" s="307">
        <f t="shared" ca="1" si="33"/>
        <v>0</v>
      </c>
      <c r="K80" s="308">
        <f t="shared" ca="1" si="34"/>
        <v>196000</v>
      </c>
      <c r="L80" s="314"/>
      <c r="M80" s="288" t="str">
        <f t="shared" ca="1" si="35"/>
        <v/>
      </c>
      <c r="N80" s="314"/>
      <c r="O80" s="309"/>
      <c r="P80" s="309"/>
      <c r="Q80" s="290"/>
      <c r="R80" s="282"/>
      <c r="S80" s="310"/>
      <c r="T80" s="287"/>
      <c r="U80" s="287"/>
      <c r="V80" s="287"/>
    </row>
    <row r="81" spans="1:22" s="315" customFormat="1">
      <c r="A81" s="282"/>
      <c r="B81" s="316">
        <v>8</v>
      </c>
      <c r="C81" s="317" t="s">
        <v>149</v>
      </c>
      <c r="D81" s="304" t="str">
        <f ca="1">IF(ISERROR(OFFSET('HARGA SATUAN'!$D$6,MATCH(RAB!C81,'HARGA SATUAN'!$C$7:$C$1495,0),0)),"",OFFSET('HARGA SATUAN'!$D$6,MATCH(RAB!C81,'HARGA SATUAN'!$C$7:$C$1495,0),0))</f>
        <v>HDW</v>
      </c>
      <c r="E81" s="305" t="str">
        <f ca="1">IF(B81="+","Unit",IF(ISERROR(OFFSET('HARGA SATUAN'!$E$6,MATCH(RAB!C81,'HARGA SATUAN'!$C$7:$C$1495,0),0)),"",OFFSET('HARGA SATUAN'!$E$6,MATCH(RAB!C81,'HARGA SATUAN'!$C$7:$C$1495,0),0)))</f>
        <v>Set</v>
      </c>
      <c r="F81" s="415">
        <f>F71*1</f>
        <v>1</v>
      </c>
      <c r="G81" s="306">
        <f ca="1">IF(ISERROR(OFFSET('HARGA SATUAN'!$I$6,MATCH(RAB!C81,'HARGA SATUAN'!$C$7:$C$1495,0),0)),0,OFFSET('HARGA SATUAN'!$I$6,MATCH(RAB!C81,'HARGA SATUAN'!$C$7:$C$1495,0),0))</f>
        <v>67800</v>
      </c>
      <c r="H81" s="307">
        <f t="shared" ca="1" si="31"/>
        <v>0</v>
      </c>
      <c r="I81" s="307">
        <f t="shared" ca="1" si="32"/>
        <v>67800</v>
      </c>
      <c r="J81" s="307">
        <f t="shared" ca="1" si="33"/>
        <v>0</v>
      </c>
      <c r="K81" s="308">
        <f t="shared" ca="1" si="34"/>
        <v>67800</v>
      </c>
      <c r="L81" s="314"/>
      <c r="M81" s="288" t="str">
        <f t="shared" ca="1" si="35"/>
        <v/>
      </c>
      <c r="N81" s="314"/>
      <c r="O81" s="309"/>
      <c r="P81" s="309"/>
      <c r="Q81" s="290"/>
      <c r="R81" s="282"/>
      <c r="S81" s="310"/>
      <c r="T81" s="287"/>
      <c r="U81" s="287"/>
      <c r="V81" s="287"/>
    </row>
    <row r="82" spans="1:22" s="315" customFormat="1">
      <c r="A82" s="282"/>
      <c r="B82" s="316">
        <v>9</v>
      </c>
      <c r="C82" s="317" t="s">
        <v>32</v>
      </c>
      <c r="D82" s="304" t="str">
        <f ca="1">IF(ISERROR(OFFSET('HARGA SATUAN'!$D$6,MATCH(RAB!C82,'HARGA SATUAN'!$C$7:$C$1495,0),0)),"",OFFSET('HARGA SATUAN'!$D$6,MATCH(RAB!C82,'HARGA SATUAN'!$C$7:$C$1495,0),0))</f>
        <v>HDW</v>
      </c>
      <c r="E82" s="305" t="str">
        <f ca="1">IF(B82="+","Unit",IF(ISERROR(OFFSET('HARGA SATUAN'!$E$6,MATCH(RAB!C82,'HARGA SATUAN'!$C$7:$C$1495,0),0)),"",OFFSET('HARGA SATUAN'!$E$6,MATCH(RAB!C82,'HARGA SATUAN'!$C$7:$C$1495,0),0)))</f>
        <v>Mtr</v>
      </c>
      <c r="F82" s="415">
        <f>F71*2</f>
        <v>2</v>
      </c>
      <c r="G82" s="306">
        <f ca="1">IF(ISERROR(OFFSET('HARGA SATUAN'!$I$6,MATCH(RAB!C82,'HARGA SATUAN'!$C$7:$C$1495,0),0)),0,OFFSET('HARGA SATUAN'!$I$6,MATCH(RAB!C82,'HARGA SATUAN'!$C$7:$C$1495,0),0))</f>
        <v>30000</v>
      </c>
      <c r="H82" s="307">
        <f t="shared" ca="1" si="31"/>
        <v>0</v>
      </c>
      <c r="I82" s="307">
        <f t="shared" ca="1" si="32"/>
        <v>60000</v>
      </c>
      <c r="J82" s="307">
        <f t="shared" ca="1" si="33"/>
        <v>0</v>
      </c>
      <c r="K82" s="308">
        <f t="shared" ca="1" si="34"/>
        <v>60000</v>
      </c>
      <c r="L82" s="314"/>
      <c r="M82" s="288" t="str">
        <f t="shared" ca="1" si="35"/>
        <v/>
      </c>
      <c r="N82" s="314"/>
      <c r="O82" s="309"/>
      <c r="P82" s="309"/>
      <c r="Q82" s="290"/>
      <c r="R82" s="282"/>
      <c r="S82" s="310"/>
      <c r="T82" s="287"/>
      <c r="U82" s="287"/>
      <c r="V82" s="287"/>
    </row>
    <row r="83" spans="1:22" s="315" customFormat="1">
      <c r="A83" s="282"/>
      <c r="B83" s="316">
        <v>10</v>
      </c>
      <c r="C83" s="317" t="s">
        <v>781</v>
      </c>
      <c r="D83" s="304" t="str">
        <f ca="1">IF(ISERROR(OFFSET('HARGA SATUAN'!$D$6,MATCH(RAB!C83,'HARGA SATUAN'!$C$7:$C$1495,0),0)),"",OFFSET('HARGA SATUAN'!$D$6,MATCH(RAB!C83,'HARGA SATUAN'!$C$7:$C$1495,0),0))</f>
        <v>JASA</v>
      </c>
      <c r="E83" s="305" t="str">
        <f ca="1">IF(B83="+","Unit",IF(ISERROR(OFFSET('HARGA SATUAN'!$E$6,MATCH(RAB!C83,'HARGA SATUAN'!$C$7:$C$1495,0),0)),"",OFFSET('HARGA SATUAN'!$E$6,MATCH(RAB!C83,'HARGA SATUAN'!$C$7:$C$1495,0),0)))</f>
        <v>Unit</v>
      </c>
      <c r="F83" s="496">
        <f>F71*1</f>
        <v>1</v>
      </c>
      <c r="G83" s="306">
        <f ca="1">IF(ISERROR(OFFSET('HARGA SATUAN'!$I$6,MATCH(RAB!C83,'HARGA SATUAN'!$C$7:$C$1495,0),0)),0,OFFSET('HARGA SATUAN'!$I$6,MATCH(RAB!C83,'HARGA SATUAN'!$C$7:$C$1495,0),0))</f>
        <v>346400</v>
      </c>
      <c r="H83" s="307">
        <f t="shared" ca="1" si="31"/>
        <v>0</v>
      </c>
      <c r="I83" s="307">
        <f t="shared" ca="1" si="32"/>
        <v>0</v>
      </c>
      <c r="J83" s="307">
        <f t="shared" ca="1" si="33"/>
        <v>346400</v>
      </c>
      <c r="K83" s="308">
        <f t="shared" ca="1" si="34"/>
        <v>346400</v>
      </c>
      <c r="L83" s="314"/>
      <c r="M83" s="288" t="str">
        <f t="shared" ca="1" si="35"/>
        <v/>
      </c>
      <c r="N83" s="314"/>
      <c r="O83" s="309"/>
      <c r="P83" s="309"/>
      <c r="Q83" s="290"/>
      <c r="R83" s="282"/>
      <c r="S83" s="310"/>
      <c r="T83" s="287"/>
      <c r="U83" s="287"/>
      <c r="V83" s="287"/>
    </row>
    <row r="84" spans="1:22" s="315" customFormat="1">
      <c r="A84" s="282"/>
      <c r="B84" s="316"/>
      <c r="C84" s="317"/>
      <c r="D84" s="304" t="str">
        <f ca="1">IF(ISERROR(OFFSET('HARGA SATUAN'!$D$6,MATCH(RAB!C84,'HARGA SATUAN'!$C$7:$C$1495,0),0)),"",OFFSET('HARGA SATUAN'!$D$6,MATCH(RAB!C84,'HARGA SATUAN'!$C$7:$C$1495,0),0))</f>
        <v/>
      </c>
      <c r="E84" s="305" t="str">
        <f ca="1">IF(B84="+","Unit",IF(ISERROR(OFFSET('HARGA SATUAN'!$E$6,MATCH(RAB!C84,'HARGA SATUAN'!$C$7:$C$1495,0),0)),"",OFFSET('HARGA SATUAN'!$E$6,MATCH(RAB!C84,'HARGA SATUAN'!$C$7:$C$1495,0),0)))</f>
        <v/>
      </c>
      <c r="F84" s="496"/>
      <c r="G84" s="306">
        <f ca="1">IF(ISERROR(OFFSET('HARGA SATUAN'!$I$6,MATCH(RAB!C84,'HARGA SATUAN'!$C$7:$C$1495,0),0)),0,OFFSET('HARGA SATUAN'!$I$6,MATCH(RAB!C84,'HARGA SATUAN'!$C$7:$C$1495,0),0))</f>
        <v>0</v>
      </c>
      <c r="H84" s="307">
        <f t="shared" ca="1" si="31"/>
        <v>0</v>
      </c>
      <c r="I84" s="307">
        <f t="shared" ca="1" si="32"/>
        <v>0</v>
      </c>
      <c r="J84" s="307">
        <f t="shared" ca="1" si="33"/>
        <v>0</v>
      </c>
      <c r="K84" s="308">
        <f t="shared" ca="1" si="34"/>
        <v>0</v>
      </c>
      <c r="L84" s="314"/>
      <c r="M84" s="288" t="str">
        <f t="shared" ca="1" si="35"/>
        <v/>
      </c>
      <c r="N84" s="314"/>
      <c r="O84" s="309"/>
      <c r="P84" s="309"/>
      <c r="Q84" s="290"/>
      <c r="R84" s="282"/>
      <c r="S84" s="310"/>
      <c r="T84" s="287"/>
      <c r="U84" s="287"/>
      <c r="V84" s="287"/>
    </row>
    <row r="85" spans="1:22" s="315" customFormat="1">
      <c r="A85" s="282"/>
      <c r="B85" s="316" t="s">
        <v>1035</v>
      </c>
      <c r="C85" s="317" t="s">
        <v>1628</v>
      </c>
      <c r="D85" s="304" t="str">
        <f ca="1">IF(ISERROR(OFFSET('HARGA SATUAN'!$D$6,MATCH(RAB!C85,'HARGA SATUAN'!$C$7:$C$1495,0),0)),"",OFFSET('HARGA SATUAN'!$D$6,MATCH(RAB!C85,'HARGA SATUAN'!$C$7:$C$1495,0),0))</f>
        <v/>
      </c>
      <c r="E85" s="305" t="str">
        <f ca="1">IF(B85="+","Unit",IF(ISERROR(OFFSET('HARGA SATUAN'!$E$6,MATCH(RAB!C85,'HARGA SATUAN'!$C$7:$C$1495,0),0)),"",OFFSET('HARGA SATUAN'!$E$6,MATCH(RAB!C85,'HARGA SATUAN'!$C$7:$C$1495,0),0)))</f>
        <v>Unit</v>
      </c>
      <c r="F85" s="495">
        <v>2</v>
      </c>
      <c r="G85" s="306">
        <f ca="1">IF(ISERROR(OFFSET('HARGA SATUAN'!$I$6,MATCH(RAB!C85,'HARGA SATUAN'!$C$7:$C$1495,0),0)),0,OFFSET('HARGA SATUAN'!$I$6,MATCH(RAB!C85,'HARGA SATUAN'!$C$7:$C$1495,0),0))</f>
        <v>0</v>
      </c>
      <c r="H85" s="307">
        <f t="shared" ca="1" si="31"/>
        <v>0</v>
      </c>
      <c r="I85" s="307">
        <f t="shared" ca="1" si="32"/>
        <v>0</v>
      </c>
      <c r="J85" s="307">
        <f t="shared" ca="1" si="33"/>
        <v>0</v>
      </c>
      <c r="K85" s="308">
        <f t="shared" ca="1" si="34"/>
        <v>0</v>
      </c>
      <c r="L85" s="314"/>
      <c r="M85" s="288" t="str">
        <f t="shared" si="35"/>
        <v/>
      </c>
      <c r="N85" s="314"/>
      <c r="O85" s="309"/>
      <c r="P85" s="309"/>
      <c r="Q85" s="290"/>
      <c r="R85" s="282"/>
      <c r="S85" s="310"/>
      <c r="T85" s="287"/>
      <c r="U85" s="287"/>
      <c r="V85" s="287"/>
    </row>
    <row r="86" spans="1:22" s="315" customFormat="1">
      <c r="A86" s="282"/>
      <c r="B86" s="316">
        <v>1</v>
      </c>
      <c r="C86" s="317" t="s">
        <v>29</v>
      </c>
      <c r="D86" s="304" t="str">
        <f ca="1">IF(ISERROR(OFFSET('HARGA SATUAN'!$D$6,MATCH(RAB!C86,'HARGA SATUAN'!$C$7:$C$1495,0),0)),"",OFFSET('HARGA SATUAN'!$D$6,MATCH(RAB!C86,'HARGA SATUAN'!$C$7:$C$1495,0),0))</f>
        <v>HDW</v>
      </c>
      <c r="E86" s="305" t="str">
        <f ca="1">IF(B86="+","Unit",IF(ISERROR(OFFSET('HARGA SATUAN'!$E$6,MATCH(RAB!C86,'HARGA SATUAN'!$C$7:$C$1495,0),0)),"",OFFSET('HARGA SATUAN'!$E$6,MATCH(RAB!C86,'HARGA SATUAN'!$C$7:$C$1495,0),0)))</f>
        <v>Bh</v>
      </c>
      <c r="F86" s="496">
        <f>F85*1</f>
        <v>2</v>
      </c>
      <c r="G86" s="306">
        <f ca="1">IF(ISERROR(OFFSET('HARGA SATUAN'!$I$6,MATCH(RAB!C86,'HARGA SATUAN'!$C$7:$C$1495,0),0)),0,OFFSET('HARGA SATUAN'!$I$6,MATCH(RAB!C86,'HARGA SATUAN'!$C$7:$C$1495,0),0))</f>
        <v>185200</v>
      </c>
      <c r="H86" s="307">
        <f t="shared" ca="1" si="31"/>
        <v>0</v>
      </c>
      <c r="I86" s="307">
        <f t="shared" ca="1" si="32"/>
        <v>370400</v>
      </c>
      <c r="J86" s="307">
        <f t="shared" ca="1" si="33"/>
        <v>0</v>
      </c>
      <c r="K86" s="308">
        <f t="shared" ca="1" si="34"/>
        <v>370400</v>
      </c>
      <c r="L86" s="314"/>
      <c r="M86" s="288" t="str">
        <f t="shared" ca="1" si="35"/>
        <v/>
      </c>
      <c r="N86" s="314"/>
      <c r="O86" s="309"/>
      <c r="P86" s="309"/>
      <c r="Q86" s="290"/>
      <c r="R86" s="282"/>
      <c r="S86" s="310"/>
      <c r="T86" s="287"/>
      <c r="U86" s="287"/>
      <c r="V86" s="287"/>
    </row>
    <row r="87" spans="1:22" s="315" customFormat="1">
      <c r="A87" s="282"/>
      <c r="B87" s="316">
        <v>2</v>
      </c>
      <c r="C87" s="317" t="s">
        <v>30</v>
      </c>
      <c r="D87" s="304" t="str">
        <f ca="1">IF(ISERROR(OFFSET('HARGA SATUAN'!$D$6,MATCH(RAB!C87,'HARGA SATUAN'!$C$7:$C$1495,0),0)),"",OFFSET('HARGA SATUAN'!$D$6,MATCH(RAB!C87,'HARGA SATUAN'!$C$7:$C$1495,0),0))</f>
        <v>HDW</v>
      </c>
      <c r="E87" s="305" t="str">
        <f ca="1">IF(B87="+","Unit",IF(ISERROR(OFFSET('HARGA SATUAN'!$E$6,MATCH(RAB!C87,'HARGA SATUAN'!$C$7:$C$1495,0),0)),"",OFFSET('HARGA SATUAN'!$E$6,MATCH(RAB!C87,'HARGA SATUAN'!$C$7:$C$1495,0),0)))</f>
        <v>Bh</v>
      </c>
      <c r="F87" s="415">
        <f>F85*1</f>
        <v>2</v>
      </c>
      <c r="G87" s="306">
        <f ca="1">IF(ISERROR(OFFSET('HARGA SATUAN'!$I$6,MATCH(RAB!C87,'HARGA SATUAN'!$C$7:$C$1495,0),0)),0,OFFSET('HARGA SATUAN'!$I$6,MATCH(RAB!C87,'HARGA SATUAN'!$C$7:$C$1495,0),0))</f>
        <v>47459</v>
      </c>
      <c r="H87" s="307">
        <f t="shared" ca="1" si="31"/>
        <v>0</v>
      </c>
      <c r="I87" s="307">
        <f t="shared" ca="1" si="32"/>
        <v>94918</v>
      </c>
      <c r="J87" s="307">
        <f t="shared" ca="1" si="33"/>
        <v>0</v>
      </c>
      <c r="K87" s="308">
        <f t="shared" ca="1" si="34"/>
        <v>94918</v>
      </c>
      <c r="L87" s="314"/>
      <c r="M87" s="288" t="str">
        <f t="shared" ca="1" si="35"/>
        <v/>
      </c>
      <c r="N87" s="314"/>
      <c r="O87" s="309"/>
      <c r="P87" s="309"/>
      <c r="Q87" s="290"/>
      <c r="R87" s="282"/>
      <c r="S87" s="310"/>
      <c r="T87" s="287"/>
      <c r="U87" s="287"/>
      <c r="V87" s="287"/>
    </row>
    <row r="88" spans="1:22" s="315" customFormat="1">
      <c r="A88" s="282"/>
      <c r="B88" s="486">
        <v>3</v>
      </c>
      <c r="C88" s="487" t="s">
        <v>31</v>
      </c>
      <c r="D88" s="304" t="str">
        <f ca="1">IF(ISERROR(OFFSET('HARGA SATUAN'!$D$6,MATCH(RAB!C88,'HARGA SATUAN'!$C$7:$C$1495,0),0)),"",OFFSET('HARGA SATUAN'!$D$6,MATCH(RAB!C88,'HARGA SATUAN'!$C$7:$C$1495,0),0))</f>
        <v>HDW</v>
      </c>
      <c r="E88" s="305" t="str">
        <f ca="1">IF(B88="+","Unit",IF(ISERROR(OFFSET('HARGA SATUAN'!$E$6,MATCH(RAB!C88,'HARGA SATUAN'!$C$7:$C$1495,0),0)),"",OFFSET('HARGA SATUAN'!$E$6,MATCH(RAB!C88,'HARGA SATUAN'!$C$7:$C$1495,0),0)))</f>
        <v>Bh</v>
      </c>
      <c r="F88" s="495">
        <f>F85*1</f>
        <v>2</v>
      </c>
      <c r="G88" s="306">
        <f ca="1">IF(ISERROR(OFFSET('HARGA SATUAN'!$I$6,MATCH(RAB!C88,'HARGA SATUAN'!$C$7:$C$1495,0),0)),0,OFFSET('HARGA SATUAN'!$I$6,MATCH(RAB!C88,'HARGA SATUAN'!$C$7:$C$1495,0),0))</f>
        <v>4880</v>
      </c>
      <c r="H88" s="307">
        <f t="shared" ca="1" si="31"/>
        <v>0</v>
      </c>
      <c r="I88" s="307">
        <f t="shared" ca="1" si="32"/>
        <v>9760</v>
      </c>
      <c r="J88" s="307">
        <f t="shared" ca="1" si="33"/>
        <v>0</v>
      </c>
      <c r="K88" s="308">
        <f t="shared" ca="1" si="34"/>
        <v>9760</v>
      </c>
      <c r="L88" s="314"/>
      <c r="M88" s="288" t="str">
        <f t="shared" ca="1" si="35"/>
        <v/>
      </c>
      <c r="N88" s="314"/>
      <c r="O88" s="309"/>
      <c r="P88" s="309"/>
      <c r="Q88" s="290"/>
      <c r="R88" s="282"/>
      <c r="S88" s="310"/>
      <c r="T88" s="287"/>
      <c r="U88" s="287"/>
      <c r="V88" s="287"/>
    </row>
    <row r="89" spans="1:22" s="315" customFormat="1">
      <c r="A89" s="282"/>
      <c r="B89" s="486">
        <v>4</v>
      </c>
      <c r="C89" s="487" t="s">
        <v>32</v>
      </c>
      <c r="D89" s="304" t="str">
        <f ca="1">IF(ISERROR(OFFSET('HARGA SATUAN'!$D$6,MATCH(RAB!C89,'HARGA SATUAN'!$C$7:$C$1495,0),0)),"",OFFSET('HARGA SATUAN'!$D$6,MATCH(RAB!C89,'HARGA SATUAN'!$C$7:$C$1495,0),0))</f>
        <v>HDW</v>
      </c>
      <c r="E89" s="305" t="str">
        <f ca="1">IF(B89="+","Unit",IF(ISERROR(OFFSET('HARGA SATUAN'!$E$6,MATCH(RAB!C89,'HARGA SATUAN'!$C$7:$C$1495,0),0)),"",OFFSET('HARGA SATUAN'!$E$6,MATCH(RAB!C89,'HARGA SATUAN'!$C$7:$C$1495,0),0)))</f>
        <v>Mtr</v>
      </c>
      <c r="F89" s="495">
        <f>F85*10</f>
        <v>20</v>
      </c>
      <c r="G89" s="306">
        <f ca="1">IF(ISERROR(OFFSET('HARGA SATUAN'!$I$6,MATCH(RAB!C89,'HARGA SATUAN'!$C$7:$C$1495,0),0)),0,OFFSET('HARGA SATUAN'!$I$6,MATCH(RAB!C89,'HARGA SATUAN'!$C$7:$C$1495,0),0))</f>
        <v>30000</v>
      </c>
      <c r="H89" s="307">
        <f t="shared" ca="1" si="31"/>
        <v>0</v>
      </c>
      <c r="I89" s="307">
        <f t="shared" ca="1" si="32"/>
        <v>600000</v>
      </c>
      <c r="J89" s="307">
        <f t="shared" ca="1" si="33"/>
        <v>0</v>
      </c>
      <c r="K89" s="308">
        <f t="shared" ca="1" si="34"/>
        <v>600000</v>
      </c>
      <c r="L89" s="314"/>
      <c r="M89" s="288" t="str">
        <f t="shared" ca="1" si="35"/>
        <v/>
      </c>
      <c r="N89" s="314"/>
      <c r="O89" s="309"/>
      <c r="P89" s="309"/>
      <c r="Q89" s="290"/>
      <c r="R89" s="282"/>
      <c r="S89" s="310"/>
      <c r="T89" s="287"/>
      <c r="U89" s="287"/>
      <c r="V89" s="287"/>
    </row>
    <row r="90" spans="1:22" s="315" customFormat="1">
      <c r="A90" s="282"/>
      <c r="B90" s="486">
        <v>5</v>
      </c>
      <c r="C90" s="487" t="s">
        <v>33</v>
      </c>
      <c r="D90" s="304" t="str">
        <f ca="1">IF(ISERROR(OFFSET('HARGA SATUAN'!$D$6,MATCH(RAB!C90,'HARGA SATUAN'!$C$7:$C$1495,0),0)),"",OFFSET('HARGA SATUAN'!$D$6,MATCH(RAB!C90,'HARGA SATUAN'!$C$7:$C$1495,0),0))</f>
        <v>HDW</v>
      </c>
      <c r="E90" s="305" t="str">
        <f ca="1">IF(B90="+","Unit",IF(ISERROR(OFFSET('HARGA SATUAN'!$E$6,MATCH(RAB!C90,'HARGA SATUAN'!$C$7:$C$1495,0),0)),"",OFFSET('HARGA SATUAN'!$E$6,MATCH(RAB!C90,'HARGA SATUAN'!$C$7:$C$1495,0),0)))</f>
        <v>Bh</v>
      </c>
      <c r="F90" s="495">
        <f>F85*2</f>
        <v>4</v>
      </c>
      <c r="G90" s="306">
        <f ca="1">IF(ISERROR(OFFSET('HARGA SATUAN'!$I$6,MATCH(RAB!C90,'HARGA SATUAN'!$C$7:$C$1495,0),0)),0,OFFSET('HARGA SATUAN'!$I$6,MATCH(RAB!C90,'HARGA SATUAN'!$C$7:$C$1495,0),0))</f>
        <v>9500</v>
      </c>
      <c r="H90" s="307">
        <f t="shared" ca="1" si="31"/>
        <v>0</v>
      </c>
      <c r="I90" s="307">
        <f t="shared" ca="1" si="32"/>
        <v>38000</v>
      </c>
      <c r="J90" s="307">
        <f t="shared" ca="1" si="33"/>
        <v>0</v>
      </c>
      <c r="K90" s="308">
        <f t="shared" ca="1" si="34"/>
        <v>38000</v>
      </c>
      <c r="L90" s="314"/>
      <c r="M90" s="288" t="str">
        <f t="shared" ca="1" si="35"/>
        <v/>
      </c>
      <c r="N90" s="314"/>
      <c r="O90" s="309"/>
      <c r="P90" s="309"/>
      <c r="Q90" s="290"/>
      <c r="R90" s="282"/>
      <c r="S90" s="310"/>
      <c r="T90" s="287"/>
      <c r="U90" s="287"/>
      <c r="V90" s="287"/>
    </row>
    <row r="91" spans="1:22" s="315" customFormat="1">
      <c r="A91" s="282"/>
      <c r="B91" s="486">
        <v>6</v>
      </c>
      <c r="C91" s="487" t="s">
        <v>34</v>
      </c>
      <c r="D91" s="304" t="str">
        <f ca="1">IF(ISERROR(OFFSET('HARGA SATUAN'!$D$6,MATCH(RAB!C91,'HARGA SATUAN'!$C$7:$C$1495,0),0)),"",OFFSET('HARGA SATUAN'!$D$6,MATCH(RAB!C91,'HARGA SATUAN'!$C$7:$C$1495,0),0))</f>
        <v>HDW</v>
      </c>
      <c r="E91" s="305" t="str">
        <f ca="1">IF(B91="+","Unit",IF(ISERROR(OFFSET('HARGA SATUAN'!$E$6,MATCH(RAB!C91,'HARGA SATUAN'!$C$7:$C$1495,0),0)),"",OFFSET('HARGA SATUAN'!$E$6,MATCH(RAB!C91,'HARGA SATUAN'!$C$7:$C$1495,0),0)))</f>
        <v>Bh</v>
      </c>
      <c r="F91" s="495">
        <f>F85*5.5</f>
        <v>11</v>
      </c>
      <c r="G91" s="306">
        <f ca="1">IF(ISERROR(OFFSET('HARGA SATUAN'!$I$6,MATCH(RAB!C91,'HARGA SATUAN'!$C$7:$C$1495,0),0)),0,OFFSET('HARGA SATUAN'!$I$6,MATCH(RAB!C91,'HARGA SATUAN'!$C$7:$C$1495,0),0))</f>
        <v>6100</v>
      </c>
      <c r="H91" s="307">
        <f t="shared" ca="1" si="31"/>
        <v>0</v>
      </c>
      <c r="I91" s="307">
        <f t="shared" ca="1" si="32"/>
        <v>67100</v>
      </c>
      <c r="J91" s="307">
        <f t="shared" ca="1" si="33"/>
        <v>0</v>
      </c>
      <c r="K91" s="308">
        <f t="shared" ca="1" si="34"/>
        <v>67100</v>
      </c>
      <c r="L91" s="314"/>
      <c r="M91" s="288" t="str">
        <f t="shared" ca="1" si="35"/>
        <v/>
      </c>
      <c r="N91" s="314"/>
      <c r="O91" s="309"/>
      <c r="P91" s="309"/>
      <c r="Q91" s="290"/>
      <c r="R91" s="282"/>
      <c r="S91" s="310"/>
      <c r="T91" s="287"/>
      <c r="U91" s="287"/>
      <c r="V91" s="287"/>
    </row>
    <row r="92" spans="1:22" s="315" customFormat="1">
      <c r="A92" s="282"/>
      <c r="B92" s="486">
        <v>7</v>
      </c>
      <c r="C92" s="487" t="s">
        <v>35</v>
      </c>
      <c r="D92" s="304" t="str">
        <f ca="1">IF(ISERROR(OFFSET('HARGA SATUAN'!$D$6,MATCH(RAB!C92,'HARGA SATUAN'!$C$7:$C$1495,0),0)),"",OFFSET('HARGA SATUAN'!$D$6,MATCH(RAB!C92,'HARGA SATUAN'!$C$7:$C$1495,0),0))</f>
        <v>HDW</v>
      </c>
      <c r="E92" s="305" t="str">
        <f ca="1">IF(B92="+","Unit",IF(ISERROR(OFFSET('HARGA SATUAN'!$E$6,MATCH(RAB!C92,'HARGA SATUAN'!$C$7:$C$1495,0),0)),"",OFFSET('HARGA SATUAN'!$E$6,MATCH(RAB!C92,'HARGA SATUAN'!$C$7:$C$1495,0),0)))</f>
        <v>Bh</v>
      </c>
      <c r="F92" s="495">
        <f>F85*6</f>
        <v>12</v>
      </c>
      <c r="G92" s="306">
        <f ca="1">IF(ISERROR(OFFSET('HARGA SATUAN'!$I$6,MATCH(RAB!C92,'HARGA SATUAN'!$C$7:$C$1495,0),0)),0,OFFSET('HARGA SATUAN'!$I$6,MATCH(RAB!C92,'HARGA SATUAN'!$C$7:$C$1495,0),0))</f>
        <v>2300</v>
      </c>
      <c r="H92" s="307">
        <f t="shared" ca="1" si="31"/>
        <v>0</v>
      </c>
      <c r="I92" s="307">
        <f t="shared" ca="1" si="32"/>
        <v>27600</v>
      </c>
      <c r="J92" s="307">
        <f t="shared" ca="1" si="33"/>
        <v>0</v>
      </c>
      <c r="K92" s="308">
        <f t="shared" ca="1" si="34"/>
        <v>27600</v>
      </c>
      <c r="L92" s="314"/>
      <c r="M92" s="288" t="str">
        <f t="shared" ca="1" si="35"/>
        <v/>
      </c>
      <c r="N92" s="314"/>
      <c r="O92" s="309"/>
      <c r="P92" s="309"/>
      <c r="Q92" s="290"/>
      <c r="R92" s="282"/>
      <c r="S92" s="310"/>
      <c r="T92" s="287"/>
      <c r="U92" s="287"/>
      <c r="V92" s="287"/>
    </row>
    <row r="93" spans="1:22" s="315" customFormat="1">
      <c r="A93" s="282"/>
      <c r="B93" s="488">
        <v>8</v>
      </c>
      <c r="C93" s="489" t="s">
        <v>1636</v>
      </c>
      <c r="D93" s="304" t="str">
        <f ca="1">IF(ISERROR(OFFSET('HARGA SATUAN'!$D$6,MATCH(RAB!C93,'HARGA SATUAN'!$C$7:$C$1495,0),0)),"",OFFSET('HARGA SATUAN'!$D$6,MATCH(RAB!C93,'HARGA SATUAN'!$C$7:$C$1495,0),0))</f>
        <v>HDW</v>
      </c>
      <c r="E93" s="305" t="str">
        <f ca="1">IF(B93="+","Unit",IF(ISERROR(OFFSET('HARGA SATUAN'!$E$6,MATCH(RAB!C93,'HARGA SATUAN'!$C$7:$C$1495,0),0)),"",OFFSET('HARGA SATUAN'!$E$6,MATCH(RAB!C93,'HARGA SATUAN'!$C$7:$C$1495,0),0)))</f>
        <v>Mtr</v>
      </c>
      <c r="F93" s="495">
        <f>F85*4.8</f>
        <v>9.6</v>
      </c>
      <c r="G93" s="306">
        <f ca="1">IF(ISERROR(OFFSET('HARGA SATUAN'!$I$6,MATCH(RAB!C93,'HARGA SATUAN'!$C$7:$C$1495,0),0)),0,OFFSET('HARGA SATUAN'!$I$6,MATCH(RAB!C93,'HARGA SATUAN'!$C$7:$C$1495,0),0))</f>
        <v>23310</v>
      </c>
      <c r="H93" s="307">
        <f t="shared" ca="1" si="31"/>
        <v>0</v>
      </c>
      <c r="I93" s="307">
        <f t="shared" ca="1" si="32"/>
        <v>223776</v>
      </c>
      <c r="J93" s="307">
        <f t="shared" ca="1" si="33"/>
        <v>0</v>
      </c>
      <c r="K93" s="308">
        <f t="shared" ca="1" si="34"/>
        <v>223776</v>
      </c>
      <c r="L93" s="314"/>
      <c r="M93" s="288" t="str">
        <f t="shared" ca="1" si="35"/>
        <v/>
      </c>
      <c r="N93" s="314"/>
      <c r="O93" s="309"/>
      <c r="P93" s="309"/>
      <c r="Q93" s="290"/>
      <c r="R93" s="282"/>
      <c r="S93" s="310"/>
      <c r="T93" s="287"/>
      <c r="U93" s="287"/>
      <c r="V93" s="287"/>
    </row>
    <row r="94" spans="1:22" s="315" customFormat="1">
      <c r="A94" s="282"/>
      <c r="B94" s="490">
        <v>9</v>
      </c>
      <c r="C94" s="491" t="s">
        <v>736</v>
      </c>
      <c r="D94" s="304" t="str">
        <f ca="1">IF(ISERROR(OFFSET('HARGA SATUAN'!$D$6,MATCH(RAB!C94,'HARGA SATUAN'!$C$7:$C$1495,0),0)),"",OFFSET('HARGA SATUAN'!$D$6,MATCH(RAB!C94,'HARGA SATUAN'!$C$7:$C$1495,0),0))</f>
        <v>JASA</v>
      </c>
      <c r="E94" s="305" t="str">
        <f ca="1">IF(B94="+","Unit",IF(ISERROR(OFFSET('HARGA SATUAN'!$E$6,MATCH(RAB!C94,'HARGA SATUAN'!$C$7:$C$1495,0),0)),"",OFFSET('HARGA SATUAN'!$E$6,MATCH(RAB!C94,'HARGA SATUAN'!$C$7:$C$1495,0),0)))</f>
        <v>Unit</v>
      </c>
      <c r="F94" s="495">
        <f>F85*1</f>
        <v>2</v>
      </c>
      <c r="G94" s="306">
        <f ca="1">IF(ISERROR(OFFSET('HARGA SATUAN'!$I$6,MATCH(RAB!C94,'HARGA SATUAN'!$C$7:$C$1495,0),0)),0,OFFSET('HARGA SATUAN'!$I$6,MATCH(RAB!C94,'HARGA SATUAN'!$C$7:$C$1495,0),0))</f>
        <v>65400</v>
      </c>
      <c r="H94" s="307">
        <f t="shared" ca="1" si="31"/>
        <v>0</v>
      </c>
      <c r="I94" s="307">
        <f t="shared" ca="1" si="32"/>
        <v>0</v>
      </c>
      <c r="J94" s="307">
        <f t="shared" ca="1" si="33"/>
        <v>130800</v>
      </c>
      <c r="K94" s="308">
        <f t="shared" ca="1" si="34"/>
        <v>130800</v>
      </c>
      <c r="L94" s="314"/>
      <c r="M94" s="288" t="str">
        <f t="shared" ca="1" si="35"/>
        <v/>
      </c>
      <c r="N94" s="314"/>
      <c r="O94" s="309"/>
      <c r="P94" s="309"/>
      <c r="Q94" s="290"/>
      <c r="R94" s="282"/>
      <c r="S94" s="310"/>
      <c r="T94" s="287"/>
      <c r="U94" s="287"/>
      <c r="V94" s="287"/>
    </row>
    <row r="95" spans="1:22" s="315" customFormat="1">
      <c r="A95" s="282"/>
      <c r="B95" s="486"/>
      <c r="C95" s="487"/>
      <c r="D95" s="304" t="str">
        <f ca="1">IF(ISERROR(OFFSET('HARGA SATUAN'!$D$6,MATCH(RAB!C95,'HARGA SATUAN'!$C$7:$C$1495,0),0)),"",OFFSET('HARGA SATUAN'!$D$6,MATCH(RAB!C95,'HARGA SATUAN'!$C$7:$C$1495,0),0))</f>
        <v/>
      </c>
      <c r="E95" s="305" t="str">
        <f ca="1">IF(B95="+","Unit",IF(ISERROR(OFFSET('HARGA SATUAN'!$E$6,MATCH(RAB!C95,'HARGA SATUAN'!$C$7:$C$1495,0),0)),"",OFFSET('HARGA SATUAN'!$E$6,MATCH(RAB!C95,'HARGA SATUAN'!$C$7:$C$1495,0),0)))</f>
        <v/>
      </c>
      <c r="F95" s="495"/>
      <c r="G95" s="306">
        <f ca="1">IF(ISERROR(OFFSET('HARGA SATUAN'!$I$6,MATCH(RAB!C95,'HARGA SATUAN'!$C$7:$C$1495,0),0)),0,OFFSET('HARGA SATUAN'!$I$6,MATCH(RAB!C95,'HARGA SATUAN'!$C$7:$C$1495,0),0))</f>
        <v>0</v>
      </c>
      <c r="H95" s="307">
        <f t="shared" ca="1" si="31"/>
        <v>0</v>
      </c>
      <c r="I95" s="307">
        <f t="shared" ca="1" si="32"/>
        <v>0</v>
      </c>
      <c r="J95" s="307">
        <f t="shared" ca="1" si="33"/>
        <v>0</v>
      </c>
      <c r="K95" s="308">
        <f t="shared" ca="1" si="34"/>
        <v>0</v>
      </c>
      <c r="L95" s="314"/>
      <c r="M95" s="288" t="e">
        <f>IF(AND(F95&gt;0,#REF!=0),"",IF(AND(ISBLANK(F95)=FALSE,K95=0),"WARNING",""))</f>
        <v>#REF!</v>
      </c>
      <c r="N95" s="314"/>
      <c r="O95" s="309"/>
      <c r="P95" s="309"/>
      <c r="Q95" s="290"/>
      <c r="R95" s="282"/>
      <c r="S95" s="310"/>
      <c r="T95" s="287"/>
      <c r="U95" s="287"/>
      <c r="V95" s="287"/>
    </row>
    <row r="96" spans="1:22" s="315" customFormat="1">
      <c r="A96" s="282"/>
      <c r="B96" s="486" t="s">
        <v>1035</v>
      </c>
      <c r="C96" s="487" t="s">
        <v>1625</v>
      </c>
      <c r="D96" s="304" t="str">
        <f ca="1">IF(ISERROR(OFFSET('HARGA SATUAN'!$D$6,MATCH(RAB!C96,'HARGA SATUAN'!$C$7:$C$1495,0),0)),"",OFFSET('HARGA SATUAN'!$D$6,MATCH(RAB!C96,'HARGA SATUAN'!$C$7:$C$1495,0),0))</f>
        <v/>
      </c>
      <c r="E96" s="305" t="str">
        <f ca="1">IF(B96="+","Unit",IF(ISERROR(OFFSET('HARGA SATUAN'!$E$6,MATCH(RAB!C96,'HARGA SATUAN'!$C$7:$C$1495,0),0)),"",OFFSET('HARGA SATUAN'!$E$6,MATCH(RAB!C96,'HARGA SATUAN'!$C$7:$C$1495,0),0)))</f>
        <v>Unit</v>
      </c>
      <c r="F96" s="495">
        <v>1</v>
      </c>
      <c r="G96" s="306">
        <f ca="1">IF(ISERROR(OFFSET('HARGA SATUAN'!$I$6,MATCH(RAB!C96,'HARGA SATUAN'!$C$7:$C$1495,0),0)),0,OFFSET('HARGA SATUAN'!$I$6,MATCH(RAB!C96,'HARGA SATUAN'!$C$7:$C$1495,0),0))</f>
        <v>0</v>
      </c>
      <c r="H96" s="307">
        <f t="shared" ca="1" si="31"/>
        <v>0</v>
      </c>
      <c r="I96" s="307">
        <f t="shared" ca="1" si="32"/>
        <v>0</v>
      </c>
      <c r="J96" s="307">
        <f t="shared" ca="1" si="33"/>
        <v>0</v>
      </c>
      <c r="K96" s="308">
        <f t="shared" ca="1" si="34"/>
        <v>0</v>
      </c>
      <c r="L96" s="314"/>
      <c r="M96" s="288" t="str">
        <f t="shared" si="35"/>
        <v/>
      </c>
      <c r="N96" s="314"/>
      <c r="O96" s="309"/>
      <c r="P96" s="309"/>
      <c r="Q96" s="290"/>
      <c r="R96" s="282"/>
      <c r="S96" s="310"/>
      <c r="T96" s="287"/>
      <c r="U96" s="287"/>
      <c r="V96" s="287"/>
    </row>
    <row r="97" spans="1:22" s="315" customFormat="1">
      <c r="A97" s="282"/>
      <c r="B97" s="486">
        <v>1</v>
      </c>
      <c r="C97" s="487" t="s">
        <v>229</v>
      </c>
      <c r="D97" s="304" t="str">
        <f ca="1">IF(ISERROR(OFFSET('HARGA SATUAN'!$D$6,MATCH(RAB!C97,'HARGA SATUAN'!$C$7:$C$1495,0),0)),"",OFFSET('HARGA SATUAN'!$D$6,MATCH(RAB!C97,'HARGA SATUAN'!$C$7:$C$1495,0),0))</f>
        <v>HDW</v>
      </c>
      <c r="E97" s="305" t="str">
        <f ca="1">IF(B97="+","Unit",IF(ISERROR(OFFSET('HARGA SATUAN'!$E$6,MATCH(RAB!C97,'HARGA SATUAN'!$C$7:$C$1495,0),0)),"",OFFSET('HARGA SATUAN'!$E$6,MATCH(RAB!C97,'HARGA SATUAN'!$C$7:$C$1495,0),0)))</f>
        <v>Bh</v>
      </c>
      <c r="F97" s="495">
        <f>F96*1</f>
        <v>1</v>
      </c>
      <c r="G97" s="306">
        <f ca="1">IF(ISERROR(OFFSET('HARGA SATUAN'!$I$6,MATCH(RAB!C97,'HARGA SATUAN'!$C$7:$C$1495,0),0)),0,OFFSET('HARGA SATUAN'!$I$6,MATCH(RAB!C97,'HARGA SATUAN'!$C$7:$C$1495,0),0))</f>
        <v>4212</v>
      </c>
      <c r="H97" s="307">
        <f t="shared" ca="1" si="31"/>
        <v>0</v>
      </c>
      <c r="I97" s="307">
        <f t="shared" ca="1" si="32"/>
        <v>4212</v>
      </c>
      <c r="J97" s="307">
        <f t="shared" ca="1" si="33"/>
        <v>0</v>
      </c>
      <c r="K97" s="308">
        <f t="shared" ca="1" si="34"/>
        <v>4212</v>
      </c>
      <c r="L97" s="314"/>
      <c r="M97" s="288" t="str">
        <f t="shared" ca="1" si="35"/>
        <v/>
      </c>
      <c r="N97" s="314"/>
      <c r="O97" s="309"/>
      <c r="P97" s="309"/>
      <c r="Q97" s="290"/>
      <c r="R97" s="282"/>
      <c r="S97" s="310"/>
      <c r="T97" s="287"/>
      <c r="U97" s="287"/>
      <c r="V97" s="287"/>
    </row>
    <row r="98" spans="1:22" s="315" customFormat="1">
      <c r="A98" s="282"/>
      <c r="B98" s="486">
        <v>2</v>
      </c>
      <c r="C98" s="487" t="s">
        <v>266</v>
      </c>
      <c r="D98" s="304" t="str">
        <f ca="1">IF(ISERROR(OFFSET('HARGA SATUAN'!$D$6,MATCH(RAB!C98,'HARGA SATUAN'!$C$7:$C$1495,0),0)),"",OFFSET('HARGA SATUAN'!$D$6,MATCH(RAB!C98,'HARGA SATUAN'!$C$7:$C$1495,0),0))</f>
        <v>HDW</v>
      </c>
      <c r="E98" s="305" t="str">
        <f ca="1">IF(B98="+","Unit",IF(ISERROR(OFFSET('HARGA SATUAN'!$E$6,MATCH(RAB!C98,'HARGA SATUAN'!$C$7:$C$1495,0),0)),"",OFFSET('HARGA SATUAN'!$E$6,MATCH(RAB!C98,'HARGA SATUAN'!$C$7:$C$1495,0),0)))</f>
        <v>Mtr</v>
      </c>
      <c r="F98" s="495">
        <f>F96*1</f>
        <v>1</v>
      </c>
      <c r="G98" s="306">
        <f ca="1">IF(ISERROR(OFFSET('HARGA SATUAN'!$I$6,MATCH(RAB!C98,'HARGA SATUAN'!$C$7:$C$1495,0),0)),0,OFFSET('HARGA SATUAN'!$I$6,MATCH(RAB!C98,'HARGA SATUAN'!$C$7:$C$1495,0),0))</f>
        <v>23310</v>
      </c>
      <c r="H98" s="307">
        <f t="shared" ca="1" si="31"/>
        <v>0</v>
      </c>
      <c r="I98" s="307">
        <f t="shared" ca="1" si="32"/>
        <v>23310</v>
      </c>
      <c r="J98" s="307">
        <f t="shared" ca="1" si="33"/>
        <v>0</v>
      </c>
      <c r="K98" s="308">
        <f t="shared" ca="1" si="34"/>
        <v>23310</v>
      </c>
      <c r="L98" s="314"/>
      <c r="M98" s="288" t="str">
        <f t="shared" ca="1" si="35"/>
        <v/>
      </c>
      <c r="N98" s="314"/>
      <c r="O98" s="309"/>
      <c r="P98" s="309"/>
      <c r="Q98" s="290"/>
      <c r="R98" s="282"/>
      <c r="S98" s="310"/>
      <c r="T98" s="287"/>
      <c r="U98" s="287"/>
      <c r="V98" s="287"/>
    </row>
    <row r="99" spans="1:22" s="315" customFormat="1">
      <c r="A99" s="282"/>
      <c r="B99" s="486">
        <v>3</v>
      </c>
      <c r="C99" s="487" t="s">
        <v>35</v>
      </c>
      <c r="D99" s="304" t="str">
        <f ca="1">IF(ISERROR(OFFSET('HARGA SATUAN'!$D$6,MATCH(RAB!C99,'HARGA SATUAN'!$C$7:$C$1495,0),0)),"",OFFSET('HARGA SATUAN'!$D$6,MATCH(RAB!C99,'HARGA SATUAN'!$C$7:$C$1495,0),0))</f>
        <v>HDW</v>
      </c>
      <c r="E99" s="305" t="str">
        <f ca="1">IF(B99="+","Unit",IF(ISERROR(OFFSET('HARGA SATUAN'!$E$6,MATCH(RAB!C99,'HARGA SATUAN'!$C$7:$C$1495,0),0)),"",OFFSET('HARGA SATUAN'!$E$6,MATCH(RAB!C99,'HARGA SATUAN'!$C$7:$C$1495,0),0)))</f>
        <v>Bh</v>
      </c>
      <c r="F99" s="495">
        <f>F96*1</f>
        <v>1</v>
      </c>
      <c r="G99" s="306">
        <f ca="1">IF(ISERROR(OFFSET('HARGA SATUAN'!$I$6,MATCH(RAB!C99,'HARGA SATUAN'!$C$7:$C$1495,0),0)),0,OFFSET('HARGA SATUAN'!$I$6,MATCH(RAB!C99,'HARGA SATUAN'!$C$7:$C$1495,0),0))</f>
        <v>2300</v>
      </c>
      <c r="H99" s="307">
        <f t="shared" ca="1" si="31"/>
        <v>0</v>
      </c>
      <c r="I99" s="307">
        <f t="shared" ca="1" si="32"/>
        <v>2300</v>
      </c>
      <c r="J99" s="307">
        <f t="shared" ca="1" si="33"/>
        <v>0</v>
      </c>
      <c r="K99" s="308">
        <f t="shared" ca="1" si="34"/>
        <v>2300</v>
      </c>
      <c r="L99" s="314"/>
      <c r="M99" s="288" t="str">
        <f t="shared" ca="1" si="35"/>
        <v/>
      </c>
      <c r="N99" s="314"/>
      <c r="O99" s="309"/>
      <c r="P99" s="309"/>
      <c r="Q99" s="290"/>
      <c r="R99" s="282"/>
      <c r="S99" s="310"/>
      <c r="T99" s="287"/>
      <c r="U99" s="287"/>
      <c r="V99" s="287"/>
    </row>
    <row r="100" spans="1:22" s="315" customFormat="1">
      <c r="A100" s="282"/>
      <c r="B100" s="486">
        <v>4</v>
      </c>
      <c r="C100" s="487" t="s">
        <v>609</v>
      </c>
      <c r="D100" s="304" t="str">
        <f ca="1">IF(ISERROR(OFFSET('HARGA SATUAN'!$D$6,MATCH(RAB!C100,'HARGA SATUAN'!$C$7:$C$1495,0),0)),"",OFFSET('HARGA SATUAN'!$D$6,MATCH(RAB!C100,'HARGA SATUAN'!$C$7:$C$1495,0),0))</f>
        <v>HDW</v>
      </c>
      <c r="E100" s="305" t="str">
        <f ca="1">IF(B100="+","Unit",IF(ISERROR(OFFSET('HARGA SATUAN'!$E$6,MATCH(RAB!C100,'HARGA SATUAN'!$C$7:$C$1495,0),0)),"",OFFSET('HARGA SATUAN'!$E$6,MATCH(RAB!C100,'HARGA SATUAN'!$C$7:$C$1495,0),0)))</f>
        <v>Bh</v>
      </c>
      <c r="F100" s="497">
        <f>F96*1</f>
        <v>1</v>
      </c>
      <c r="G100" s="306">
        <f ca="1">IF(ISERROR(OFFSET('HARGA SATUAN'!$I$6,MATCH(RAB!C100,'HARGA SATUAN'!$C$7:$C$1495,0),0)),0,OFFSET('HARGA SATUAN'!$I$6,MATCH(RAB!C100,'HARGA SATUAN'!$C$7:$C$1495,0),0))</f>
        <v>71000</v>
      </c>
      <c r="H100" s="307">
        <f t="shared" ca="1" si="0"/>
        <v>0</v>
      </c>
      <c r="I100" s="307">
        <f t="shared" ca="1" si="1"/>
        <v>71000</v>
      </c>
      <c r="J100" s="307">
        <f t="shared" ca="1" si="2"/>
        <v>0</v>
      </c>
      <c r="K100" s="308">
        <f t="shared" ca="1" si="3"/>
        <v>71000</v>
      </c>
      <c r="L100" s="314"/>
      <c r="M100" s="288" t="str">
        <f t="shared" ca="1" si="35"/>
        <v/>
      </c>
      <c r="N100" s="314"/>
      <c r="O100" s="309"/>
      <c r="P100" s="309"/>
      <c r="Q100" s="290"/>
      <c r="R100" s="282"/>
      <c r="S100" s="310"/>
      <c r="T100" s="287"/>
      <c r="U100" s="287"/>
      <c r="V100" s="287"/>
    </row>
    <row r="101" spans="1:22" s="315" customFormat="1">
      <c r="A101" s="282" t="e">
        <f>IF(AND(C101=0,#REF!=0,#REF!=0),"BLANKS",1)</f>
        <v>#REF!</v>
      </c>
      <c r="B101" s="486">
        <v>5</v>
      </c>
      <c r="C101" s="487" t="s">
        <v>629</v>
      </c>
      <c r="D101" s="304" t="str">
        <f ca="1">IF(ISERROR(OFFSET('HARGA SATUAN'!$D$6,MATCH(RAB!C101,'HARGA SATUAN'!$C$7:$C$1495,0),0)),"",OFFSET('HARGA SATUAN'!$D$6,MATCH(RAB!C101,'HARGA SATUAN'!$C$7:$C$1495,0),0))</f>
        <v>JASA</v>
      </c>
      <c r="E101" s="305" t="str">
        <f ca="1">IF(B101="+","Unit",IF(ISERROR(OFFSET('HARGA SATUAN'!$E$6,MATCH(RAB!C101,'HARGA SATUAN'!$C$7:$C$1495,0),0)),"",OFFSET('HARGA SATUAN'!$E$6,MATCH(RAB!C101,'HARGA SATUAN'!$C$7:$C$1495,0),0)))</f>
        <v>Unit</v>
      </c>
      <c r="F101" s="497">
        <f>F96*1</f>
        <v>1</v>
      </c>
      <c r="G101" s="306">
        <f ca="1">IF(ISERROR(OFFSET('HARGA SATUAN'!$I$6,MATCH(RAB!C101,'HARGA SATUAN'!$C$7:$C$1495,0),0)),0,OFFSET('HARGA SATUAN'!$I$6,MATCH(RAB!C101,'HARGA SATUAN'!$C$7:$C$1495,0),0))</f>
        <v>29400</v>
      </c>
      <c r="H101" s="307">
        <f t="shared" ref="H101:H107" ca="1" si="36">IF(OR(D101="MDU",D101="MDU-KD"),(IF($O$3="RAB NON MDU","PLN KD",G101*F101)),0)</f>
        <v>0</v>
      </c>
      <c r="I101" s="307">
        <f t="shared" ref="I101:I107" ca="1" si="37">IF(D101="HDW",G101*F101,0)</f>
        <v>0</v>
      </c>
      <c r="J101" s="307">
        <f t="shared" ref="J101:J107" ca="1" si="38">IF(D101="JASA",G101*F101,0)</f>
        <v>29400</v>
      </c>
      <c r="K101" s="308">
        <f t="shared" ref="K101:K107" ca="1" si="39">SUM(H101:J101)</f>
        <v>29400</v>
      </c>
      <c r="L101" s="314"/>
      <c r="M101" s="288" t="str">
        <f t="shared" ca="1" si="35"/>
        <v/>
      </c>
      <c r="N101" s="314"/>
      <c r="O101" s="309"/>
      <c r="P101" s="309"/>
      <c r="Q101" s="290"/>
      <c r="R101" s="282"/>
      <c r="S101" s="310"/>
      <c r="T101" s="287"/>
      <c r="U101" s="287"/>
      <c r="V101" s="287"/>
    </row>
    <row r="102" spans="1:22" s="315" customFormat="1">
      <c r="A102" s="282"/>
      <c r="B102" s="486"/>
      <c r="C102" s="487"/>
      <c r="D102" s="304" t="str">
        <f ca="1">IF(ISERROR(OFFSET('HARGA SATUAN'!$D$6,MATCH(RAB!C102,'HARGA SATUAN'!$C$7:$C$1495,0),0)),"",OFFSET('HARGA SATUAN'!$D$6,MATCH(RAB!C102,'HARGA SATUAN'!$C$7:$C$1495,0),0))</f>
        <v/>
      </c>
      <c r="E102" s="305" t="str">
        <f ca="1">IF(B102="+","Unit",IF(ISERROR(OFFSET('HARGA SATUAN'!$E$6,MATCH(RAB!C102,'HARGA SATUAN'!$C$7:$C$1495,0),0)),"",OFFSET('HARGA SATUAN'!$E$6,MATCH(RAB!C102,'HARGA SATUAN'!$C$7:$C$1495,0),0)))</f>
        <v/>
      </c>
      <c r="F102" s="495"/>
      <c r="G102" s="306">
        <f ca="1">IF(ISERROR(OFFSET('HARGA SATUAN'!$I$6,MATCH(RAB!C102,'HARGA SATUAN'!$C$7:$C$1495,0),0)),0,OFFSET('HARGA SATUAN'!$I$6,MATCH(RAB!C102,'HARGA SATUAN'!$C$7:$C$1495,0),0))</f>
        <v>0</v>
      </c>
      <c r="H102" s="307">
        <f t="shared" ca="1" si="36"/>
        <v>0</v>
      </c>
      <c r="I102" s="307">
        <f t="shared" ca="1" si="37"/>
        <v>0</v>
      </c>
      <c r="J102" s="307">
        <f t="shared" ca="1" si="38"/>
        <v>0</v>
      </c>
      <c r="K102" s="308">
        <f t="shared" ca="1" si="39"/>
        <v>0</v>
      </c>
      <c r="L102" s="314"/>
      <c r="M102" s="288" t="str">
        <f t="shared" ca="1" si="35"/>
        <v/>
      </c>
      <c r="N102" s="314"/>
      <c r="O102" s="309"/>
      <c r="P102" s="309"/>
      <c r="Q102" s="290"/>
      <c r="R102" s="282"/>
      <c r="S102" s="310"/>
      <c r="T102" s="287"/>
      <c r="U102" s="287"/>
      <c r="V102" s="287"/>
    </row>
    <row r="103" spans="1:22" s="315" customFormat="1">
      <c r="A103" s="282"/>
      <c r="B103" s="486" t="s">
        <v>1035</v>
      </c>
      <c r="C103" s="487" t="s">
        <v>1626</v>
      </c>
      <c r="D103" s="304" t="str">
        <f ca="1">IF(ISERROR(OFFSET('HARGA SATUAN'!$D$6,MATCH(RAB!C103,'HARGA SATUAN'!$C$7:$C$1495,0),0)),"",OFFSET('HARGA SATUAN'!$D$6,MATCH(RAB!C103,'HARGA SATUAN'!$C$7:$C$1495,0),0))</f>
        <v/>
      </c>
      <c r="E103" s="305" t="str">
        <f ca="1">IF(B103="+","Unit",IF(ISERROR(OFFSET('HARGA SATUAN'!$E$6,MATCH(RAB!C103,'HARGA SATUAN'!$C$7:$C$1495,0),0)),"",OFFSET('HARGA SATUAN'!$E$6,MATCH(RAB!C103,'HARGA SATUAN'!$C$7:$C$1495,0),0)))</f>
        <v>Unit</v>
      </c>
      <c r="F103" s="495">
        <v>2</v>
      </c>
      <c r="G103" s="306">
        <f ca="1">IF(ISERROR(OFFSET('HARGA SATUAN'!$I$6,MATCH(RAB!C103,'HARGA SATUAN'!$C$7:$C$1495,0),0)),0,OFFSET('HARGA SATUAN'!$I$6,MATCH(RAB!C103,'HARGA SATUAN'!$C$7:$C$1495,0),0))</f>
        <v>0</v>
      </c>
      <c r="H103" s="307">
        <f t="shared" ref="H103:H104" ca="1" si="40">IF(OR(D103="MDU",D103="MDU-KD"),(IF($O$3="RAB NON MDU","PLN KD",G103*F103)),0)</f>
        <v>0</v>
      </c>
      <c r="I103" s="307">
        <f t="shared" ref="I103:I104" ca="1" si="41">IF(D103="HDW",G103*F103,0)</f>
        <v>0</v>
      </c>
      <c r="J103" s="307">
        <f t="shared" ref="J103:J104" ca="1" si="42">IF(D103="JASA",G103*F103,0)</f>
        <v>0</v>
      </c>
      <c r="K103" s="308">
        <f t="shared" ref="K103:K104" ca="1" si="43">SUM(H103:J103)</f>
        <v>0</v>
      </c>
      <c r="L103" s="314"/>
      <c r="M103" s="288" t="str">
        <f t="shared" si="35"/>
        <v/>
      </c>
      <c r="N103" s="314"/>
      <c r="O103" s="309"/>
      <c r="P103" s="309"/>
      <c r="Q103" s="290"/>
      <c r="R103" s="282"/>
      <c r="S103" s="310"/>
      <c r="T103" s="287"/>
      <c r="U103" s="287"/>
      <c r="V103" s="287"/>
    </row>
    <row r="104" spans="1:22" s="315" customFormat="1">
      <c r="A104" s="282"/>
      <c r="B104" s="486">
        <v>1</v>
      </c>
      <c r="C104" s="487" t="s">
        <v>595</v>
      </c>
      <c r="D104" s="304" t="str">
        <f ca="1">IF(ISERROR(OFFSET('HARGA SATUAN'!$D$6,MATCH(RAB!C104,'HARGA SATUAN'!$C$7:$C$1495,0),0)),"",OFFSET('HARGA SATUAN'!$D$6,MATCH(RAB!C104,'HARGA SATUAN'!$C$7:$C$1495,0),0))</f>
        <v>HDW</v>
      </c>
      <c r="E104" s="305" t="str">
        <f ca="1">IF(B104="+","Unit",IF(ISERROR(OFFSET('HARGA SATUAN'!$E$6,MATCH(RAB!C104,'HARGA SATUAN'!$C$7:$C$1495,0),0)),"",OFFSET('HARGA SATUAN'!$E$6,MATCH(RAB!C104,'HARGA SATUAN'!$C$7:$C$1495,0),0)))</f>
        <v>Bh</v>
      </c>
      <c r="F104" s="495">
        <f>F103*1</f>
        <v>2</v>
      </c>
      <c r="G104" s="306">
        <f ca="1">IF(ISERROR(OFFSET('HARGA SATUAN'!$I$6,MATCH(RAB!C104,'HARGA SATUAN'!$C$7:$C$1495,0),0)),0,OFFSET('HARGA SATUAN'!$I$6,MATCH(RAB!C104,'HARGA SATUAN'!$C$7:$C$1495,0),0))</f>
        <v>78500</v>
      </c>
      <c r="H104" s="307">
        <f t="shared" ca="1" si="40"/>
        <v>0</v>
      </c>
      <c r="I104" s="307">
        <f t="shared" ca="1" si="41"/>
        <v>157000</v>
      </c>
      <c r="J104" s="307">
        <f t="shared" ca="1" si="42"/>
        <v>0</v>
      </c>
      <c r="K104" s="308">
        <f t="shared" ca="1" si="43"/>
        <v>157000</v>
      </c>
      <c r="L104" s="314"/>
      <c r="M104" s="288" t="str">
        <f t="shared" ca="1" si="35"/>
        <v/>
      </c>
      <c r="N104" s="314"/>
      <c r="O104" s="309"/>
      <c r="P104" s="309"/>
      <c r="Q104" s="290"/>
      <c r="R104" s="282"/>
      <c r="S104" s="310"/>
      <c r="T104" s="287"/>
      <c r="U104" s="287"/>
      <c r="V104" s="287"/>
    </row>
    <row r="105" spans="1:22" s="315" customFormat="1">
      <c r="A105" s="282"/>
      <c r="B105" s="486">
        <v>2</v>
      </c>
      <c r="C105" s="487" t="s">
        <v>229</v>
      </c>
      <c r="D105" s="304" t="str">
        <f ca="1">IF(ISERROR(OFFSET('HARGA SATUAN'!$D$6,MATCH(RAB!C105,'HARGA SATUAN'!$C$7:$C$1495,0),0)),"",OFFSET('HARGA SATUAN'!$D$6,MATCH(RAB!C105,'HARGA SATUAN'!$C$7:$C$1495,0),0))</f>
        <v>HDW</v>
      </c>
      <c r="E105" s="305" t="str">
        <f ca="1">IF(B105="+","Unit",IF(ISERROR(OFFSET('HARGA SATUAN'!$E$6,MATCH(RAB!C105,'HARGA SATUAN'!$C$7:$C$1495,0),0)),"",OFFSET('HARGA SATUAN'!$E$6,MATCH(RAB!C105,'HARGA SATUAN'!$C$7:$C$1495,0),0)))</f>
        <v>Bh</v>
      </c>
      <c r="F105" s="495">
        <f>F103*1</f>
        <v>2</v>
      </c>
      <c r="G105" s="306">
        <f ca="1">IF(ISERROR(OFFSET('HARGA SATUAN'!$I$6,MATCH(RAB!C105,'HARGA SATUAN'!$C$7:$C$1495,0),0)),0,OFFSET('HARGA SATUAN'!$I$6,MATCH(RAB!C105,'HARGA SATUAN'!$C$7:$C$1495,0),0))</f>
        <v>4212</v>
      </c>
      <c r="H105" s="307">
        <f t="shared" ca="1" si="36"/>
        <v>0</v>
      </c>
      <c r="I105" s="307">
        <f t="shared" ca="1" si="37"/>
        <v>8424</v>
      </c>
      <c r="J105" s="307">
        <f t="shared" ca="1" si="38"/>
        <v>0</v>
      </c>
      <c r="K105" s="308">
        <f t="shared" ca="1" si="39"/>
        <v>8424</v>
      </c>
      <c r="L105" s="314"/>
      <c r="M105" s="288" t="str">
        <f t="shared" ca="1" si="35"/>
        <v/>
      </c>
      <c r="N105" s="314"/>
      <c r="O105" s="309"/>
      <c r="P105" s="309"/>
      <c r="Q105" s="290"/>
      <c r="R105" s="282"/>
      <c r="S105" s="310"/>
      <c r="T105" s="287"/>
      <c r="U105" s="287"/>
      <c r="V105" s="287"/>
    </row>
    <row r="106" spans="1:22" s="315" customFormat="1">
      <c r="A106" s="282"/>
      <c r="B106" s="486">
        <v>3</v>
      </c>
      <c r="C106" s="487" t="s">
        <v>266</v>
      </c>
      <c r="D106" s="304" t="str">
        <f ca="1">IF(ISERROR(OFFSET('HARGA SATUAN'!$D$6,MATCH(RAB!C106,'HARGA SATUAN'!$C$7:$C$1495,0),0)),"",OFFSET('HARGA SATUAN'!$D$6,MATCH(RAB!C106,'HARGA SATUAN'!$C$7:$C$1495,0),0))</f>
        <v>HDW</v>
      </c>
      <c r="E106" s="305" t="str">
        <f ca="1">IF(B106="+","Unit",IF(ISERROR(OFFSET('HARGA SATUAN'!$E$6,MATCH(RAB!C106,'HARGA SATUAN'!$C$7:$C$1495,0),0)),"",OFFSET('HARGA SATUAN'!$E$6,MATCH(RAB!C106,'HARGA SATUAN'!$C$7:$C$1495,0),0)))</f>
        <v>Mtr</v>
      </c>
      <c r="F106" s="495">
        <f>F103*1</f>
        <v>2</v>
      </c>
      <c r="G106" s="306">
        <f ca="1">IF(ISERROR(OFFSET('HARGA SATUAN'!$I$6,MATCH(RAB!C106,'HARGA SATUAN'!$C$7:$C$1495,0),0)),0,OFFSET('HARGA SATUAN'!$I$6,MATCH(RAB!C106,'HARGA SATUAN'!$C$7:$C$1495,0),0))</f>
        <v>23310</v>
      </c>
      <c r="H106" s="307">
        <f t="shared" ca="1" si="36"/>
        <v>0</v>
      </c>
      <c r="I106" s="307">
        <f t="shared" ca="1" si="37"/>
        <v>46620</v>
      </c>
      <c r="J106" s="307">
        <f t="shared" ca="1" si="38"/>
        <v>0</v>
      </c>
      <c r="K106" s="308">
        <f t="shared" ca="1" si="39"/>
        <v>46620</v>
      </c>
      <c r="L106" s="314"/>
      <c r="M106" s="288" t="str">
        <f t="shared" ca="1" si="35"/>
        <v/>
      </c>
      <c r="N106" s="314"/>
      <c r="O106" s="309"/>
      <c r="P106" s="309"/>
      <c r="Q106" s="290"/>
      <c r="R106" s="282"/>
      <c r="S106" s="310"/>
      <c r="T106" s="287"/>
      <c r="U106" s="287"/>
      <c r="V106" s="287"/>
    </row>
    <row r="107" spans="1:22" s="315" customFormat="1">
      <c r="A107" s="282"/>
      <c r="B107" s="486">
        <v>4</v>
      </c>
      <c r="C107" s="487" t="s">
        <v>35</v>
      </c>
      <c r="D107" s="304" t="str">
        <f ca="1">IF(ISERROR(OFFSET('HARGA SATUAN'!$D$6,MATCH(RAB!C107,'HARGA SATUAN'!$C$7:$C$1495,0),0)),"",OFFSET('HARGA SATUAN'!$D$6,MATCH(RAB!C107,'HARGA SATUAN'!$C$7:$C$1495,0),0))</f>
        <v>HDW</v>
      </c>
      <c r="E107" s="305" t="str">
        <f ca="1">IF(B107="+","Unit",IF(ISERROR(OFFSET('HARGA SATUAN'!$E$6,MATCH(RAB!C107,'HARGA SATUAN'!$C$7:$C$1495,0),0)),"",OFFSET('HARGA SATUAN'!$E$6,MATCH(RAB!C107,'HARGA SATUAN'!$C$7:$C$1495,0),0)))</f>
        <v>Bh</v>
      </c>
      <c r="F107" s="497">
        <f>F103*1</f>
        <v>2</v>
      </c>
      <c r="G107" s="306">
        <f ca="1">IF(ISERROR(OFFSET('HARGA SATUAN'!$I$6,MATCH(RAB!C107,'HARGA SATUAN'!$C$7:$C$1495,0),0)),0,OFFSET('HARGA SATUAN'!$I$6,MATCH(RAB!C107,'HARGA SATUAN'!$C$7:$C$1495,0),0))</f>
        <v>2300</v>
      </c>
      <c r="H107" s="307">
        <f t="shared" ca="1" si="36"/>
        <v>0</v>
      </c>
      <c r="I107" s="307">
        <f t="shared" ca="1" si="37"/>
        <v>4600</v>
      </c>
      <c r="J107" s="307">
        <f t="shared" ca="1" si="38"/>
        <v>0</v>
      </c>
      <c r="K107" s="308">
        <f t="shared" ca="1" si="39"/>
        <v>4600</v>
      </c>
      <c r="L107" s="314"/>
      <c r="M107" s="288" t="str">
        <f t="shared" ca="1" si="35"/>
        <v/>
      </c>
      <c r="N107" s="314"/>
      <c r="O107" s="309"/>
      <c r="P107" s="309"/>
      <c r="Q107" s="290"/>
      <c r="R107" s="282"/>
      <c r="S107" s="310"/>
      <c r="T107" s="287"/>
      <c r="U107" s="287"/>
      <c r="V107" s="287"/>
    </row>
    <row r="108" spans="1:22" s="315" customFormat="1">
      <c r="A108" s="282"/>
      <c r="B108" s="486">
        <v>5</v>
      </c>
      <c r="C108" s="487" t="s">
        <v>630</v>
      </c>
      <c r="D108" s="304" t="str">
        <f ca="1">IF(ISERROR(OFFSET('HARGA SATUAN'!$D$6,MATCH(RAB!C108,'HARGA SATUAN'!$C$7:$C$1495,0),0)),"",OFFSET('HARGA SATUAN'!$D$6,MATCH(RAB!C108,'HARGA SATUAN'!$C$7:$C$1495,0),0))</f>
        <v>JASA</v>
      </c>
      <c r="E108" s="305" t="str">
        <f ca="1">IF(B108="+","Unit",IF(ISERROR(OFFSET('HARGA SATUAN'!$E$6,MATCH(RAB!C108,'HARGA SATUAN'!$C$7:$C$1495,0),0)),"",OFFSET('HARGA SATUAN'!$E$6,MATCH(RAB!C108,'HARGA SATUAN'!$C$7:$C$1495,0),0)))</f>
        <v>Unit</v>
      </c>
      <c r="F108" s="497">
        <f>F103*1</f>
        <v>2</v>
      </c>
      <c r="G108" s="306">
        <f ca="1">IF(ISERROR(OFFSET('HARGA SATUAN'!$I$6,MATCH(RAB!C108,'HARGA SATUAN'!$C$7:$C$1495,0),0)),0,OFFSET('HARGA SATUAN'!$I$6,MATCH(RAB!C108,'HARGA SATUAN'!$C$7:$C$1495,0),0))</f>
        <v>35700</v>
      </c>
      <c r="H108" s="307">
        <f t="shared" ref="H108" ca="1" si="44">IF(OR(D108="MDU",D108="MDU-KD"),(IF($O$3="RAB NON MDU","PLN KD",G108*F108)),0)</f>
        <v>0</v>
      </c>
      <c r="I108" s="307">
        <f t="shared" ref="I108" ca="1" si="45">IF(D108="HDW",G108*F108,0)</f>
        <v>0</v>
      </c>
      <c r="J108" s="307">
        <f t="shared" ref="J108" ca="1" si="46">IF(D108="JASA",G108*F108,0)</f>
        <v>71400</v>
      </c>
      <c r="K108" s="308">
        <f t="shared" ref="K108" ca="1" si="47">SUM(H108:J108)</f>
        <v>71400</v>
      </c>
      <c r="L108" s="314"/>
      <c r="M108" s="288" t="str">
        <f t="shared" ca="1" si="35"/>
        <v/>
      </c>
      <c r="N108" s="314"/>
      <c r="O108" s="309"/>
      <c r="P108" s="309"/>
      <c r="Q108" s="290"/>
      <c r="R108" s="282"/>
      <c r="S108" s="310"/>
      <c r="T108" s="287"/>
      <c r="U108" s="287"/>
      <c r="V108" s="287"/>
    </row>
    <row r="109" spans="1:22" s="315" customFormat="1">
      <c r="A109" s="282"/>
      <c r="B109" s="486"/>
      <c r="C109" s="487"/>
      <c r="D109" s="304" t="str">
        <f ca="1">IF(ISERROR(OFFSET('HARGA SATUAN'!$D$6,MATCH(RAB!C109,'HARGA SATUAN'!$C$7:$C$1495,0),0)),"",OFFSET('HARGA SATUAN'!$D$6,MATCH(RAB!C109,'HARGA SATUAN'!$C$7:$C$1495,0),0))</f>
        <v/>
      </c>
      <c r="E109" s="305" t="str">
        <f ca="1">IF(B109="+","Unit",IF(ISERROR(OFFSET('HARGA SATUAN'!$E$6,MATCH(RAB!C109,'HARGA SATUAN'!$C$7:$C$1495,0),0)),"",OFFSET('HARGA SATUAN'!$E$6,MATCH(RAB!C109,'HARGA SATUAN'!$C$7:$C$1495,0),0)))</f>
        <v/>
      </c>
      <c r="F109" s="497"/>
      <c r="G109" s="306">
        <f ca="1">IF(ISERROR(OFFSET('HARGA SATUAN'!$I$6,MATCH(RAB!C109,'HARGA SATUAN'!$C$7:$C$1495,0),0)),0,OFFSET('HARGA SATUAN'!$I$6,MATCH(RAB!C109,'HARGA SATUAN'!$C$7:$C$1495,0),0))</f>
        <v>0</v>
      </c>
      <c r="H109" s="307">
        <f t="shared" ref="H109:H165" ca="1" si="48">IF(OR(D109="MDU",D109="MDU-KD"),(IF($O$3="RAB NON MDU","PLN KD",G109*F109)),0)</f>
        <v>0</v>
      </c>
      <c r="I109" s="307">
        <f t="shared" ref="I109:I165" ca="1" si="49">IF(D109="HDW",G109*F109,0)</f>
        <v>0</v>
      </c>
      <c r="J109" s="307">
        <f t="shared" ref="J109:J165" ca="1" si="50">IF(D109="JASA",G109*F109,0)</f>
        <v>0</v>
      </c>
      <c r="K109" s="308">
        <f t="shared" ref="K109:K165" ca="1" si="51">SUM(H109:J109)</f>
        <v>0</v>
      </c>
      <c r="L109" s="314"/>
      <c r="M109" s="288" t="str">
        <f t="shared" ca="1" si="35"/>
        <v/>
      </c>
      <c r="N109" s="314"/>
      <c r="O109" s="309"/>
      <c r="P109" s="309"/>
      <c r="Q109" s="290"/>
      <c r="R109" s="282"/>
      <c r="S109" s="310"/>
      <c r="T109" s="287"/>
      <c r="U109" s="287"/>
      <c r="V109" s="287"/>
    </row>
    <row r="110" spans="1:22" s="315" customFormat="1">
      <c r="A110" s="282"/>
      <c r="B110" s="486" t="s">
        <v>1035</v>
      </c>
      <c r="C110" s="487" t="s">
        <v>1627</v>
      </c>
      <c r="D110" s="304" t="str">
        <f ca="1">IF(ISERROR(OFFSET('HARGA SATUAN'!$D$6,MATCH(RAB!C110,'HARGA SATUAN'!$C$7:$C$1495,0),0)),"",OFFSET('HARGA SATUAN'!$D$6,MATCH(RAB!C110,'HARGA SATUAN'!$C$7:$C$1495,0),0))</f>
        <v/>
      </c>
      <c r="E110" s="305" t="str">
        <f ca="1">IF(B110="+","Unit",IF(ISERROR(OFFSET('HARGA SATUAN'!$E$6,MATCH(RAB!C110,'HARGA SATUAN'!$C$7:$C$1495,0),0)),"",OFFSET('HARGA SATUAN'!$E$6,MATCH(RAB!C110,'HARGA SATUAN'!$C$7:$C$1495,0),0)))</f>
        <v>Unit</v>
      </c>
      <c r="F110" s="497">
        <v>1</v>
      </c>
      <c r="G110" s="306">
        <f ca="1">IF(ISERROR(OFFSET('HARGA SATUAN'!$I$6,MATCH(RAB!C110,'HARGA SATUAN'!$C$7:$C$1495,0),0)),0,OFFSET('HARGA SATUAN'!$I$6,MATCH(RAB!C110,'HARGA SATUAN'!$C$7:$C$1495,0),0))</f>
        <v>0</v>
      </c>
      <c r="H110" s="307">
        <f t="shared" ca="1" si="48"/>
        <v>0</v>
      </c>
      <c r="I110" s="307">
        <f t="shared" ca="1" si="49"/>
        <v>0</v>
      </c>
      <c r="J110" s="307">
        <f t="shared" ca="1" si="50"/>
        <v>0</v>
      </c>
      <c r="K110" s="308">
        <f t="shared" ca="1" si="51"/>
        <v>0</v>
      </c>
      <c r="L110" s="314"/>
      <c r="M110" s="288" t="e">
        <f>IF(AND(F110&gt;0,#REF!=0),"",IF(AND(ISBLANK(F110)=FALSE,K110=0),"WARNING",""))</f>
        <v>#REF!</v>
      </c>
      <c r="N110" s="314"/>
      <c r="O110" s="309"/>
      <c r="P110" s="309"/>
      <c r="Q110" s="290"/>
      <c r="R110" s="282"/>
      <c r="S110" s="310"/>
      <c r="T110" s="287"/>
      <c r="U110" s="287"/>
      <c r="V110" s="287"/>
    </row>
    <row r="111" spans="1:22" s="315" customFormat="1">
      <c r="A111" s="282"/>
      <c r="B111" s="486">
        <v>1</v>
      </c>
      <c r="C111" s="487" t="s">
        <v>598</v>
      </c>
      <c r="D111" s="304" t="str">
        <f ca="1">IF(ISERROR(OFFSET('HARGA SATUAN'!$D$6,MATCH(RAB!C111,'HARGA SATUAN'!$C$7:$C$1495,0),0)),"",OFFSET('HARGA SATUAN'!$D$6,MATCH(RAB!C111,'HARGA SATUAN'!$C$7:$C$1495,0),0))</f>
        <v>HDW</v>
      </c>
      <c r="E111" s="305" t="str">
        <f ca="1">IF(B111="+","Unit",IF(ISERROR(OFFSET('HARGA SATUAN'!$E$6,MATCH(RAB!C111,'HARGA SATUAN'!$C$7:$C$1495,0),0)),"",OFFSET('HARGA SATUAN'!$E$6,MATCH(RAB!C111,'HARGA SATUAN'!$C$7:$C$1495,0),0)))</f>
        <v>Bh</v>
      </c>
      <c r="F111" s="497">
        <f>F110*1</f>
        <v>1</v>
      </c>
      <c r="G111" s="306">
        <f ca="1">IF(ISERROR(OFFSET('HARGA SATUAN'!$I$6,MATCH(RAB!C111,'HARGA SATUAN'!$C$7:$C$1495,0),0)),0,OFFSET('HARGA SATUAN'!$I$6,MATCH(RAB!C111,'HARGA SATUAN'!$C$7:$C$1495,0),0))</f>
        <v>3965</v>
      </c>
      <c r="H111" s="307">
        <f t="shared" ca="1" si="48"/>
        <v>0</v>
      </c>
      <c r="I111" s="307">
        <f t="shared" ca="1" si="49"/>
        <v>3965</v>
      </c>
      <c r="J111" s="307">
        <f t="shared" ca="1" si="50"/>
        <v>0</v>
      </c>
      <c r="K111" s="308">
        <f t="shared" ca="1" si="51"/>
        <v>3965</v>
      </c>
      <c r="L111" s="314"/>
      <c r="M111" s="288" t="str">
        <f t="shared" ca="1" si="35"/>
        <v/>
      </c>
      <c r="N111" s="314"/>
      <c r="O111" s="309"/>
      <c r="P111" s="309"/>
      <c r="Q111" s="290"/>
      <c r="R111" s="282"/>
      <c r="S111" s="310"/>
      <c r="T111" s="287"/>
      <c r="U111" s="287"/>
      <c r="V111" s="287"/>
    </row>
    <row r="112" spans="1:22" s="315" customFormat="1">
      <c r="A112" s="282"/>
      <c r="B112" s="486">
        <v>2</v>
      </c>
      <c r="C112" s="487" t="s">
        <v>474</v>
      </c>
      <c r="D112" s="304" t="str">
        <f ca="1">IF(ISERROR(OFFSET('HARGA SATUAN'!$D$6,MATCH(RAB!C112,'HARGA SATUAN'!$C$7:$C$1495,0),0)),"",OFFSET('HARGA SATUAN'!$D$6,MATCH(RAB!C112,'HARGA SATUAN'!$C$7:$C$1495,0),0))</f>
        <v>HDW</v>
      </c>
      <c r="E112" s="305" t="str">
        <f ca="1">IF(B112="+","Unit",IF(ISERROR(OFFSET('HARGA SATUAN'!$E$6,MATCH(RAB!C112,'HARGA SATUAN'!$C$7:$C$1495,0),0)),"",OFFSET('HARGA SATUAN'!$E$6,MATCH(RAB!C112,'HARGA SATUAN'!$C$7:$C$1495,0),0)))</f>
        <v>Bh</v>
      </c>
      <c r="F112" s="497">
        <f>F110*1</f>
        <v>1</v>
      </c>
      <c r="G112" s="306">
        <f ca="1">IF(ISERROR(OFFSET('HARGA SATUAN'!$I$6,MATCH(RAB!C112,'HARGA SATUAN'!$C$7:$C$1495,0),0)),0,OFFSET('HARGA SATUAN'!$I$6,MATCH(RAB!C112,'HARGA SATUAN'!$C$7:$C$1495,0),0))</f>
        <v>3711.24</v>
      </c>
      <c r="H112" s="307">
        <f t="shared" ca="1" si="48"/>
        <v>0</v>
      </c>
      <c r="I112" s="307">
        <f t="shared" ca="1" si="49"/>
        <v>3711.24</v>
      </c>
      <c r="J112" s="307">
        <f t="shared" ca="1" si="50"/>
        <v>0</v>
      </c>
      <c r="K112" s="308">
        <f t="shared" ca="1" si="51"/>
        <v>3711.24</v>
      </c>
      <c r="L112" s="314"/>
      <c r="M112" s="288" t="str">
        <f t="shared" ca="1" si="35"/>
        <v/>
      </c>
      <c r="N112" s="314"/>
      <c r="O112" s="309"/>
      <c r="P112" s="309"/>
      <c r="Q112" s="290"/>
      <c r="R112" s="282"/>
      <c r="S112" s="310"/>
      <c r="T112" s="287"/>
      <c r="U112" s="287"/>
      <c r="V112" s="287"/>
    </row>
    <row r="113" spans="1:22" s="315" customFormat="1">
      <c r="A113" s="282"/>
      <c r="B113" s="486">
        <v>3</v>
      </c>
      <c r="C113" s="487" t="s">
        <v>266</v>
      </c>
      <c r="D113" s="304" t="str">
        <f ca="1">IF(ISERROR(OFFSET('HARGA SATUAN'!$D$6,MATCH(RAB!C113,'HARGA SATUAN'!$C$7:$C$1495,0),0)),"",OFFSET('HARGA SATUAN'!$D$6,MATCH(RAB!C113,'HARGA SATUAN'!$C$7:$C$1495,0),0))</f>
        <v>HDW</v>
      </c>
      <c r="E113" s="305" t="str">
        <f ca="1">IF(B113="+","Unit",IF(ISERROR(OFFSET('HARGA SATUAN'!$E$6,MATCH(RAB!C113,'HARGA SATUAN'!$C$7:$C$1495,0),0)),"",OFFSET('HARGA SATUAN'!$E$6,MATCH(RAB!C113,'HARGA SATUAN'!$C$7:$C$1495,0),0)))</f>
        <v>Mtr</v>
      </c>
      <c r="F113" s="497">
        <f>F110*1</f>
        <v>1</v>
      </c>
      <c r="G113" s="306">
        <f ca="1">IF(ISERROR(OFFSET('HARGA SATUAN'!$I$6,MATCH(RAB!C113,'HARGA SATUAN'!$C$7:$C$1495,0),0)),0,OFFSET('HARGA SATUAN'!$I$6,MATCH(RAB!C113,'HARGA SATUAN'!$C$7:$C$1495,0),0))</f>
        <v>23310</v>
      </c>
      <c r="H113" s="307">
        <f t="shared" ca="1" si="48"/>
        <v>0</v>
      </c>
      <c r="I113" s="307">
        <f t="shared" ca="1" si="49"/>
        <v>23310</v>
      </c>
      <c r="J113" s="307">
        <f t="shared" ca="1" si="50"/>
        <v>0</v>
      </c>
      <c r="K113" s="308">
        <f t="shared" ca="1" si="51"/>
        <v>23310</v>
      </c>
      <c r="L113" s="314"/>
      <c r="M113" s="288" t="str">
        <f t="shared" ca="1" si="35"/>
        <v/>
      </c>
      <c r="N113" s="314"/>
      <c r="O113" s="309"/>
      <c r="P113" s="309"/>
      <c r="Q113" s="290"/>
      <c r="R113" s="282"/>
      <c r="S113" s="310"/>
      <c r="T113" s="287"/>
      <c r="U113" s="287"/>
      <c r="V113" s="287"/>
    </row>
    <row r="114" spans="1:22" s="315" customFormat="1">
      <c r="A114" s="282"/>
      <c r="B114" s="486">
        <v>4</v>
      </c>
      <c r="C114" s="487" t="s">
        <v>35</v>
      </c>
      <c r="D114" s="304" t="str">
        <f ca="1">IF(ISERROR(OFFSET('HARGA SATUAN'!$D$6,MATCH(RAB!C114,'HARGA SATUAN'!$C$7:$C$1495,0),0)),"",OFFSET('HARGA SATUAN'!$D$6,MATCH(RAB!C114,'HARGA SATUAN'!$C$7:$C$1495,0),0))</f>
        <v>HDW</v>
      </c>
      <c r="E114" s="305" t="str">
        <f ca="1">IF(B114="+","Unit",IF(ISERROR(OFFSET('HARGA SATUAN'!$E$6,MATCH(RAB!C114,'HARGA SATUAN'!$C$7:$C$1495,0),0)),"",OFFSET('HARGA SATUAN'!$E$6,MATCH(RAB!C114,'HARGA SATUAN'!$C$7:$C$1495,0),0)))</f>
        <v>Bh</v>
      </c>
      <c r="F114" s="497">
        <f>F110*1</f>
        <v>1</v>
      </c>
      <c r="G114" s="306">
        <f ca="1">IF(ISERROR(OFFSET('HARGA SATUAN'!$I$6,MATCH(RAB!C114,'HARGA SATUAN'!$C$7:$C$1495,0),0)),0,OFFSET('HARGA SATUAN'!$I$6,MATCH(RAB!C114,'HARGA SATUAN'!$C$7:$C$1495,0),0))</f>
        <v>2300</v>
      </c>
      <c r="H114" s="307">
        <f t="shared" ca="1" si="48"/>
        <v>0</v>
      </c>
      <c r="I114" s="307">
        <f t="shared" ca="1" si="49"/>
        <v>2300</v>
      </c>
      <c r="J114" s="307">
        <f t="shared" ca="1" si="50"/>
        <v>0</v>
      </c>
      <c r="K114" s="308">
        <f t="shared" ca="1" si="51"/>
        <v>2300</v>
      </c>
      <c r="L114" s="314"/>
      <c r="M114" s="288" t="str">
        <f t="shared" ca="1" si="35"/>
        <v/>
      </c>
      <c r="N114" s="314"/>
      <c r="O114" s="309"/>
      <c r="P114" s="309"/>
      <c r="Q114" s="290"/>
      <c r="R114" s="282"/>
      <c r="S114" s="310"/>
      <c r="T114" s="287"/>
      <c r="U114" s="287"/>
      <c r="V114" s="287"/>
    </row>
    <row r="115" spans="1:22" s="315" customFormat="1">
      <c r="A115" s="282"/>
      <c r="B115" s="486">
        <v>5</v>
      </c>
      <c r="C115" s="487" t="s">
        <v>632</v>
      </c>
      <c r="D115" s="304" t="str">
        <f ca="1">IF(ISERROR(OFFSET('HARGA SATUAN'!$D$6,MATCH(RAB!C115,'HARGA SATUAN'!$C$7:$C$1495,0),0)),"",OFFSET('HARGA SATUAN'!$D$6,MATCH(RAB!C115,'HARGA SATUAN'!$C$7:$C$1495,0),0))</f>
        <v>JASA</v>
      </c>
      <c r="E115" s="305" t="str">
        <f ca="1">IF(B115="+","Unit",IF(ISERROR(OFFSET('HARGA SATUAN'!$E$6,MATCH(RAB!C115,'HARGA SATUAN'!$C$7:$C$1495,0),0)),"",OFFSET('HARGA SATUAN'!$E$6,MATCH(RAB!C115,'HARGA SATUAN'!$C$7:$C$1495,0),0)))</f>
        <v>Unit</v>
      </c>
      <c r="F115" s="497">
        <f>F110*1</f>
        <v>1</v>
      </c>
      <c r="G115" s="306">
        <f ca="1">IF(ISERROR(OFFSET('HARGA SATUAN'!$I$6,MATCH(RAB!C115,'HARGA SATUAN'!$C$7:$C$1495,0),0)),0,OFFSET('HARGA SATUAN'!$I$6,MATCH(RAB!C115,'HARGA SATUAN'!$C$7:$C$1495,0),0))</f>
        <v>22700</v>
      </c>
      <c r="H115" s="307">
        <f t="shared" ca="1" si="48"/>
        <v>0</v>
      </c>
      <c r="I115" s="307">
        <f t="shared" ca="1" si="49"/>
        <v>0</v>
      </c>
      <c r="J115" s="307">
        <f t="shared" ca="1" si="50"/>
        <v>22700</v>
      </c>
      <c r="K115" s="308">
        <f t="shared" ca="1" si="51"/>
        <v>22700</v>
      </c>
      <c r="L115" s="314"/>
      <c r="M115" s="288" t="str">
        <f t="shared" ca="1" si="35"/>
        <v/>
      </c>
      <c r="N115" s="314"/>
      <c r="O115" s="309"/>
      <c r="P115" s="309"/>
      <c r="Q115" s="290"/>
      <c r="R115" s="282"/>
      <c r="S115" s="310"/>
      <c r="T115" s="287"/>
      <c r="U115" s="287"/>
      <c r="V115" s="287"/>
    </row>
    <row r="116" spans="1:22" s="315" customFormat="1">
      <c r="A116" s="282"/>
      <c r="B116" s="486"/>
      <c r="C116" s="487"/>
      <c r="D116" s="304" t="str">
        <f ca="1">IF(ISERROR(OFFSET('HARGA SATUAN'!$D$6,MATCH(RAB!C116,'HARGA SATUAN'!$C$7:$C$1495,0),0)),"",OFFSET('HARGA SATUAN'!$D$6,MATCH(RAB!C116,'HARGA SATUAN'!$C$7:$C$1495,0),0))</f>
        <v/>
      </c>
      <c r="E116" s="305" t="str">
        <f ca="1">IF(B116="+","Unit",IF(ISERROR(OFFSET('HARGA SATUAN'!$E$6,MATCH(RAB!C116,'HARGA SATUAN'!$C$7:$C$1495,0),0)),"",OFFSET('HARGA SATUAN'!$E$6,MATCH(RAB!C116,'HARGA SATUAN'!$C$7:$C$1495,0),0)))</f>
        <v/>
      </c>
      <c r="F116" s="497"/>
      <c r="G116" s="306">
        <f ca="1">IF(ISERROR(OFFSET('HARGA SATUAN'!$I$6,MATCH(RAB!C116,'HARGA SATUAN'!$C$7:$C$1495,0),0)),0,OFFSET('HARGA SATUAN'!$I$6,MATCH(RAB!C116,'HARGA SATUAN'!$C$7:$C$1495,0),0))</f>
        <v>0</v>
      </c>
      <c r="H116" s="307">
        <f t="shared" ca="1" si="48"/>
        <v>0</v>
      </c>
      <c r="I116" s="307">
        <f t="shared" ca="1" si="49"/>
        <v>0</v>
      </c>
      <c r="J116" s="307">
        <f t="shared" ca="1" si="50"/>
        <v>0</v>
      </c>
      <c r="K116" s="308">
        <f t="shared" ca="1" si="51"/>
        <v>0</v>
      </c>
      <c r="L116" s="314"/>
      <c r="M116" s="288" t="str">
        <f t="shared" ca="1" si="35"/>
        <v/>
      </c>
      <c r="N116" s="314"/>
      <c r="O116" s="309"/>
      <c r="P116" s="309"/>
      <c r="Q116" s="290"/>
      <c r="R116" s="282"/>
      <c r="S116" s="310"/>
      <c r="T116" s="287"/>
      <c r="U116" s="287"/>
      <c r="V116" s="287"/>
    </row>
    <row r="117" spans="1:22" s="315" customFormat="1">
      <c r="A117" s="282"/>
      <c r="B117" s="486" t="s">
        <v>1035</v>
      </c>
      <c r="C117" s="487" t="s">
        <v>1624</v>
      </c>
      <c r="D117" s="304" t="str">
        <f ca="1">IF(ISERROR(OFFSET('HARGA SATUAN'!$D$6,MATCH(RAB!C117,'HARGA SATUAN'!$C$7:$C$1495,0),0)),"",OFFSET('HARGA SATUAN'!$D$6,MATCH(RAB!C117,'HARGA SATUAN'!$C$7:$C$1495,0),0))</f>
        <v/>
      </c>
      <c r="E117" s="305" t="str">
        <f ca="1">IF(B117="+","Unit",IF(ISERROR(OFFSET('HARGA SATUAN'!$E$6,MATCH(RAB!C117,'HARGA SATUAN'!$C$7:$C$1495,0),0)),"",OFFSET('HARGA SATUAN'!$E$6,MATCH(RAB!C117,'HARGA SATUAN'!$C$7:$C$1495,0),0)))</f>
        <v>Unit</v>
      </c>
      <c r="F117" s="495">
        <v>8</v>
      </c>
      <c r="G117" s="306">
        <f ca="1">IF(ISERROR(OFFSET('HARGA SATUAN'!$I$6,MATCH(RAB!C117,'HARGA SATUAN'!$C$7:$C$1495,0),0)),0,OFFSET('HARGA SATUAN'!$I$6,MATCH(RAB!C117,'HARGA SATUAN'!$C$7:$C$1495,0),0))</f>
        <v>0</v>
      </c>
      <c r="H117" s="307">
        <f t="shared" ref="H117:H136" ca="1" si="52">IF(OR(D117="MDU",D117="MDU-KD"),(IF($O$3="RAB NON MDU","PLN KD",G117*F117)),0)</f>
        <v>0</v>
      </c>
      <c r="I117" s="307">
        <f t="shared" ref="I117:I136" ca="1" si="53">IF(D117="HDW",G117*F117,0)</f>
        <v>0</v>
      </c>
      <c r="J117" s="307">
        <f t="shared" ref="J117:J136" ca="1" si="54">IF(D117="JASA",G117*F117,0)</f>
        <v>0</v>
      </c>
      <c r="K117" s="308">
        <f t="shared" ref="K117:K136" ca="1" si="55">SUM(H117:J117)</f>
        <v>0</v>
      </c>
      <c r="L117" s="314"/>
      <c r="M117" s="288" t="str">
        <f t="shared" si="35"/>
        <v/>
      </c>
      <c r="N117" s="314"/>
      <c r="O117" s="309"/>
      <c r="P117" s="309"/>
      <c r="Q117" s="290"/>
      <c r="R117" s="282"/>
      <c r="S117" s="310"/>
      <c r="T117" s="287"/>
      <c r="U117" s="287"/>
      <c r="V117" s="287"/>
    </row>
    <row r="118" spans="1:22" s="315" customFormat="1">
      <c r="A118" s="282"/>
      <c r="B118" s="486">
        <v>1</v>
      </c>
      <c r="C118" s="487" t="s">
        <v>30</v>
      </c>
      <c r="D118" s="304" t="str">
        <f ca="1">IF(ISERROR(OFFSET('HARGA SATUAN'!$D$6,MATCH(RAB!C118,'HARGA SATUAN'!$C$7:$C$1495,0),0)),"",OFFSET('HARGA SATUAN'!$D$6,MATCH(RAB!C118,'HARGA SATUAN'!$C$7:$C$1495,0),0))</f>
        <v>HDW</v>
      </c>
      <c r="E118" s="305" t="str">
        <f ca="1">IF(B118="+","Unit",IF(ISERROR(OFFSET('HARGA SATUAN'!$E$6,MATCH(RAB!C118,'HARGA SATUAN'!$C$7:$C$1495,0),0)),"",OFFSET('HARGA SATUAN'!$E$6,MATCH(RAB!C118,'HARGA SATUAN'!$C$7:$C$1495,0),0)))</f>
        <v>Bh</v>
      </c>
      <c r="F118" s="495">
        <f>F117*1</f>
        <v>8</v>
      </c>
      <c r="G118" s="306">
        <f ca="1">IF(ISERROR(OFFSET('HARGA SATUAN'!$I$6,MATCH(RAB!C118,'HARGA SATUAN'!$C$7:$C$1495,0),0)),0,OFFSET('HARGA SATUAN'!$I$6,MATCH(RAB!C118,'HARGA SATUAN'!$C$7:$C$1495,0),0))</f>
        <v>47459</v>
      </c>
      <c r="H118" s="307">
        <f t="shared" ca="1" si="52"/>
        <v>0</v>
      </c>
      <c r="I118" s="307">
        <f t="shared" ca="1" si="53"/>
        <v>379672</v>
      </c>
      <c r="J118" s="307">
        <f t="shared" ca="1" si="54"/>
        <v>0</v>
      </c>
      <c r="K118" s="308">
        <f t="shared" ca="1" si="55"/>
        <v>379672</v>
      </c>
      <c r="L118" s="314"/>
      <c r="M118" s="288" t="str">
        <f t="shared" ca="1" si="35"/>
        <v/>
      </c>
      <c r="N118" s="314"/>
      <c r="O118" s="309"/>
      <c r="P118" s="309"/>
      <c r="Q118" s="290"/>
      <c r="R118" s="282"/>
      <c r="S118" s="310"/>
      <c r="T118" s="287"/>
      <c r="U118" s="287"/>
      <c r="V118" s="287"/>
    </row>
    <row r="119" spans="1:22" s="315" customFormat="1">
      <c r="A119" s="282"/>
      <c r="B119" s="486">
        <v>2</v>
      </c>
      <c r="C119" s="487" t="s">
        <v>32</v>
      </c>
      <c r="D119" s="304" t="str">
        <f ca="1">IF(ISERROR(OFFSET('HARGA SATUAN'!$D$6,MATCH(RAB!C119,'HARGA SATUAN'!$C$7:$C$1495,0),0)),"",OFFSET('HARGA SATUAN'!$D$6,MATCH(RAB!C119,'HARGA SATUAN'!$C$7:$C$1495,0),0))</f>
        <v>HDW</v>
      </c>
      <c r="E119" s="305" t="str">
        <f ca="1">IF(B119="+","Unit",IF(ISERROR(OFFSET('HARGA SATUAN'!$E$6,MATCH(RAB!C119,'HARGA SATUAN'!$C$7:$C$1495,0),0)),"",OFFSET('HARGA SATUAN'!$E$6,MATCH(RAB!C119,'HARGA SATUAN'!$C$7:$C$1495,0),0)))</f>
        <v>Mtr</v>
      </c>
      <c r="F119" s="495">
        <f>F117*0.8</f>
        <v>6.4</v>
      </c>
      <c r="G119" s="306">
        <f ca="1">IF(ISERROR(OFFSET('HARGA SATUAN'!$I$6,MATCH(RAB!C119,'HARGA SATUAN'!$C$7:$C$1495,0),0)),0,OFFSET('HARGA SATUAN'!$I$6,MATCH(RAB!C119,'HARGA SATUAN'!$C$7:$C$1495,0),0))</f>
        <v>30000</v>
      </c>
      <c r="H119" s="307">
        <f t="shared" ca="1" si="52"/>
        <v>0</v>
      </c>
      <c r="I119" s="307">
        <f t="shared" ca="1" si="53"/>
        <v>192000</v>
      </c>
      <c r="J119" s="307">
        <f t="shared" ca="1" si="54"/>
        <v>0</v>
      </c>
      <c r="K119" s="308">
        <f t="shared" ca="1" si="55"/>
        <v>192000</v>
      </c>
      <c r="L119" s="314"/>
      <c r="M119" s="288" t="str">
        <f t="shared" ca="1" si="35"/>
        <v/>
      </c>
      <c r="N119" s="314"/>
      <c r="O119" s="309"/>
      <c r="P119" s="309"/>
      <c r="Q119" s="290"/>
      <c r="R119" s="282"/>
      <c r="S119" s="310"/>
      <c r="T119" s="287"/>
      <c r="U119" s="287"/>
      <c r="V119" s="287"/>
    </row>
    <row r="120" spans="1:22" s="315" customFormat="1">
      <c r="A120" s="282"/>
      <c r="B120" s="486">
        <v>3</v>
      </c>
      <c r="C120" s="487" t="s">
        <v>33</v>
      </c>
      <c r="D120" s="304" t="str">
        <f ca="1">IF(ISERROR(OFFSET('HARGA SATUAN'!$D$6,MATCH(RAB!C120,'HARGA SATUAN'!$C$7:$C$1495,0),0)),"",OFFSET('HARGA SATUAN'!$D$6,MATCH(RAB!C120,'HARGA SATUAN'!$C$7:$C$1495,0),0))</f>
        <v>HDW</v>
      </c>
      <c r="E120" s="305" t="str">
        <f ca="1">IF(B120="+","Unit",IF(ISERROR(OFFSET('HARGA SATUAN'!$E$6,MATCH(RAB!C120,'HARGA SATUAN'!$C$7:$C$1495,0),0)),"",OFFSET('HARGA SATUAN'!$E$6,MATCH(RAB!C120,'HARGA SATUAN'!$C$7:$C$1495,0),0)))</f>
        <v>Bh</v>
      </c>
      <c r="F120" s="495">
        <f>F117*1</f>
        <v>8</v>
      </c>
      <c r="G120" s="306">
        <f ca="1">IF(ISERROR(OFFSET('HARGA SATUAN'!$I$6,MATCH(RAB!C120,'HARGA SATUAN'!$C$7:$C$1495,0),0)),0,OFFSET('HARGA SATUAN'!$I$6,MATCH(RAB!C120,'HARGA SATUAN'!$C$7:$C$1495,0),0))</f>
        <v>9500</v>
      </c>
      <c r="H120" s="307">
        <f t="shared" ca="1" si="52"/>
        <v>0</v>
      </c>
      <c r="I120" s="307">
        <f t="shared" ca="1" si="53"/>
        <v>76000</v>
      </c>
      <c r="J120" s="307">
        <f t="shared" ca="1" si="54"/>
        <v>0</v>
      </c>
      <c r="K120" s="308">
        <f t="shared" ca="1" si="55"/>
        <v>76000</v>
      </c>
      <c r="L120" s="314"/>
      <c r="M120" s="288" t="str">
        <f t="shared" ca="1" si="35"/>
        <v/>
      </c>
      <c r="N120" s="314"/>
      <c r="O120" s="309"/>
      <c r="P120" s="309"/>
      <c r="Q120" s="290"/>
      <c r="R120" s="282"/>
      <c r="S120" s="310"/>
      <c r="T120" s="287"/>
      <c r="U120" s="287"/>
      <c r="V120" s="287"/>
    </row>
    <row r="121" spans="1:22" s="315" customFormat="1">
      <c r="A121" s="282"/>
      <c r="B121" s="486">
        <v>4</v>
      </c>
      <c r="C121" s="487" t="s">
        <v>737</v>
      </c>
      <c r="D121" s="304" t="str">
        <f ca="1">IF(ISERROR(OFFSET('HARGA SATUAN'!$D$6,MATCH(RAB!C121,'HARGA SATUAN'!$C$7:$C$1495,0),0)),"",OFFSET('HARGA SATUAN'!$D$6,MATCH(RAB!C121,'HARGA SATUAN'!$C$7:$C$1495,0),0))</f>
        <v>JASA</v>
      </c>
      <c r="E121" s="305" t="str">
        <f ca="1">IF(B121="+","Unit",IF(ISERROR(OFFSET('HARGA SATUAN'!$E$6,MATCH(RAB!C121,'HARGA SATUAN'!$C$7:$C$1495,0),0)),"",OFFSET('HARGA SATUAN'!$E$6,MATCH(RAB!C121,'HARGA SATUAN'!$C$7:$C$1495,0),0)))</f>
        <v>Unit</v>
      </c>
      <c r="F121" s="495">
        <f>F117*1</f>
        <v>8</v>
      </c>
      <c r="G121" s="306">
        <f ca="1">IF(ISERROR(OFFSET('HARGA SATUAN'!$I$6,MATCH(RAB!C121,'HARGA SATUAN'!$C$7:$C$1495,0),0)),0,OFFSET('HARGA SATUAN'!$I$6,MATCH(RAB!C121,'HARGA SATUAN'!$C$7:$C$1495,0),0))</f>
        <v>16200</v>
      </c>
      <c r="H121" s="307">
        <f t="shared" ca="1" si="52"/>
        <v>0</v>
      </c>
      <c r="I121" s="307">
        <f t="shared" ca="1" si="53"/>
        <v>0</v>
      </c>
      <c r="J121" s="307">
        <f t="shared" ca="1" si="54"/>
        <v>129600</v>
      </c>
      <c r="K121" s="308">
        <f t="shared" ca="1" si="55"/>
        <v>129600</v>
      </c>
      <c r="L121" s="314"/>
      <c r="M121" s="288" t="str">
        <f t="shared" ca="1" si="35"/>
        <v/>
      </c>
      <c r="N121" s="314"/>
      <c r="O121" s="309"/>
      <c r="P121" s="309"/>
      <c r="Q121" s="290"/>
      <c r="R121" s="282"/>
      <c r="S121" s="310"/>
      <c r="T121" s="287"/>
      <c r="U121" s="287"/>
      <c r="V121" s="287"/>
    </row>
    <row r="122" spans="1:22" s="315" customFormat="1">
      <c r="A122" s="282"/>
      <c r="B122" s="486"/>
      <c r="C122" s="487"/>
      <c r="D122" s="304" t="str">
        <f ca="1">IF(ISERROR(OFFSET('HARGA SATUAN'!$D$6,MATCH(RAB!C122,'HARGA SATUAN'!$C$7:$C$1495,0),0)),"",OFFSET('HARGA SATUAN'!$D$6,MATCH(RAB!C122,'HARGA SATUAN'!$C$7:$C$1495,0),0))</f>
        <v/>
      </c>
      <c r="E122" s="305" t="str">
        <f ca="1">IF(B122="+","Unit",IF(ISERROR(OFFSET('HARGA SATUAN'!$E$6,MATCH(RAB!C122,'HARGA SATUAN'!$C$7:$C$1495,0),0)),"",OFFSET('HARGA SATUAN'!$E$6,MATCH(RAB!C122,'HARGA SATUAN'!$C$7:$C$1495,0),0)))</f>
        <v/>
      </c>
      <c r="F122" s="495"/>
      <c r="G122" s="306">
        <f ca="1">IF(ISERROR(OFFSET('HARGA SATUAN'!$I$6,MATCH(RAB!C122,'HARGA SATUAN'!$C$7:$C$1495,0),0)),0,OFFSET('HARGA SATUAN'!$I$6,MATCH(RAB!C122,'HARGA SATUAN'!$C$7:$C$1495,0),0))</f>
        <v>0</v>
      </c>
      <c r="H122" s="307">
        <f t="shared" ca="1" si="52"/>
        <v>0</v>
      </c>
      <c r="I122" s="307">
        <f t="shared" ca="1" si="53"/>
        <v>0</v>
      </c>
      <c r="J122" s="307">
        <f t="shared" ca="1" si="54"/>
        <v>0</v>
      </c>
      <c r="K122" s="308">
        <f t="shared" ca="1" si="55"/>
        <v>0</v>
      </c>
      <c r="L122" s="314"/>
      <c r="M122" s="288" t="str">
        <f t="shared" ca="1" si="35"/>
        <v/>
      </c>
      <c r="N122" s="314"/>
      <c r="O122" s="309"/>
      <c r="P122" s="309"/>
      <c r="Q122" s="290"/>
      <c r="R122" s="282"/>
      <c r="S122" s="310"/>
      <c r="T122" s="287"/>
      <c r="U122" s="287"/>
      <c r="V122" s="287"/>
    </row>
    <row r="123" spans="1:22" s="315" customFormat="1">
      <c r="A123" s="282"/>
      <c r="B123" s="316" t="s">
        <v>1035</v>
      </c>
      <c r="C123" s="317" t="s">
        <v>1620</v>
      </c>
      <c r="D123" s="304" t="str">
        <f ca="1">IF(ISERROR(OFFSET('HARGA SATUAN'!$D$6,MATCH(RAB!C123,'HARGA SATUAN'!$C$7:$C$1495,0),0)),"",OFFSET('HARGA SATUAN'!$D$6,MATCH(RAB!C123,'HARGA SATUAN'!$C$7:$C$1495,0),0))</f>
        <v/>
      </c>
      <c r="E123" s="305" t="str">
        <f ca="1">IF(B123="+","Unit",IF(ISERROR(OFFSET('HARGA SATUAN'!$E$6,MATCH(RAB!C123,'HARGA SATUAN'!$C$7:$C$1495,0),0)),"",OFFSET('HARGA SATUAN'!$E$6,MATCH(RAB!C123,'HARGA SATUAN'!$C$7:$C$1495,0),0)))</f>
        <v>Unit</v>
      </c>
      <c r="F123" s="495">
        <v>6</v>
      </c>
      <c r="G123" s="306">
        <f ca="1">IF(ISERROR(OFFSET('HARGA SATUAN'!$I$6,MATCH(RAB!C123,'HARGA SATUAN'!$C$7:$C$1495,0),0)),0,OFFSET('HARGA SATUAN'!$I$6,MATCH(RAB!C123,'HARGA SATUAN'!$C$7:$C$1495,0),0))</f>
        <v>0</v>
      </c>
      <c r="H123" s="307">
        <f t="shared" ca="1" si="52"/>
        <v>0</v>
      </c>
      <c r="I123" s="307">
        <f t="shared" ca="1" si="53"/>
        <v>0</v>
      </c>
      <c r="J123" s="307">
        <f t="shared" ca="1" si="54"/>
        <v>0</v>
      </c>
      <c r="K123" s="308">
        <f t="shared" ca="1" si="55"/>
        <v>0</v>
      </c>
      <c r="L123" s="314"/>
      <c r="M123" s="288" t="str">
        <f t="shared" si="35"/>
        <v/>
      </c>
      <c r="N123" s="314"/>
      <c r="O123" s="309"/>
      <c r="P123" s="309"/>
      <c r="Q123" s="290"/>
      <c r="R123" s="282"/>
      <c r="S123" s="310"/>
      <c r="T123" s="287"/>
      <c r="U123" s="287"/>
      <c r="V123" s="287"/>
    </row>
    <row r="124" spans="1:22" s="315" customFormat="1">
      <c r="A124" s="282"/>
      <c r="B124" s="316">
        <v>1</v>
      </c>
      <c r="C124" s="317" t="s">
        <v>28</v>
      </c>
      <c r="D124" s="304" t="str">
        <f ca="1">IF(ISERROR(OFFSET('HARGA SATUAN'!$D$6,MATCH(RAB!C124,'HARGA SATUAN'!$C$7:$C$1495,0),0)),"",OFFSET('HARGA SATUAN'!$D$6,MATCH(RAB!C124,'HARGA SATUAN'!$C$7:$C$1495,0),0))</f>
        <v>HDW</v>
      </c>
      <c r="E124" s="305" t="str">
        <f ca="1">IF(B124="+","Unit",IF(ISERROR(OFFSET('HARGA SATUAN'!$E$6,MATCH(RAB!C124,'HARGA SATUAN'!$C$7:$C$1495,0),0)),"",OFFSET('HARGA SATUAN'!$E$6,MATCH(RAB!C124,'HARGA SATUAN'!$C$7:$C$1495,0),0)))</f>
        <v>Bh</v>
      </c>
      <c r="F124" s="415">
        <f>F123*1</f>
        <v>6</v>
      </c>
      <c r="G124" s="306">
        <f ca="1">IF(ISERROR(OFFSET('HARGA SATUAN'!$I$6,MATCH(RAB!C124,'HARGA SATUAN'!$C$7:$C$1495,0),0)),0,OFFSET('HARGA SATUAN'!$I$6,MATCH(RAB!C124,'HARGA SATUAN'!$C$7:$C$1495,0),0))</f>
        <v>26500</v>
      </c>
      <c r="H124" s="307">
        <f t="shared" ca="1" si="52"/>
        <v>0</v>
      </c>
      <c r="I124" s="307">
        <f t="shared" ca="1" si="53"/>
        <v>159000</v>
      </c>
      <c r="J124" s="307">
        <f t="shared" ca="1" si="54"/>
        <v>0</v>
      </c>
      <c r="K124" s="308">
        <f t="shared" ca="1" si="55"/>
        <v>159000</v>
      </c>
      <c r="L124" s="314"/>
      <c r="M124" s="288" t="str">
        <f t="shared" ca="1" si="35"/>
        <v/>
      </c>
      <c r="N124" s="314"/>
      <c r="O124" s="309"/>
      <c r="P124" s="309"/>
      <c r="Q124" s="290"/>
      <c r="R124" s="282"/>
      <c r="S124" s="310"/>
      <c r="T124" s="287"/>
      <c r="U124" s="287"/>
      <c r="V124" s="287"/>
    </row>
    <row r="125" spans="1:22" s="315" customFormat="1">
      <c r="A125" s="282"/>
      <c r="B125" s="316">
        <v>2</v>
      </c>
      <c r="C125" s="317" t="s">
        <v>203</v>
      </c>
      <c r="D125" s="304" t="str">
        <f ca="1">IF(ISERROR(OFFSET('HARGA SATUAN'!$D$6,MATCH(RAB!C125,'HARGA SATUAN'!$C$7:$C$1495,0),0)),"",OFFSET('HARGA SATUAN'!$D$6,MATCH(RAB!C125,'HARGA SATUAN'!$C$7:$C$1495,0),0))</f>
        <v>HDW</v>
      </c>
      <c r="E125" s="305" t="str">
        <f ca="1">IF(B125="+","Unit",IF(ISERROR(OFFSET('HARGA SATUAN'!$E$6,MATCH(RAB!C125,'HARGA SATUAN'!$C$7:$C$1495,0),0)),"",OFFSET('HARGA SATUAN'!$E$6,MATCH(RAB!C125,'HARGA SATUAN'!$C$7:$C$1495,0),0)))</f>
        <v>Bh</v>
      </c>
      <c r="F125" s="415">
        <f>F123*1</f>
        <v>6</v>
      </c>
      <c r="G125" s="306">
        <f ca="1">IF(ISERROR(OFFSET('HARGA SATUAN'!$I$6,MATCH(RAB!C125,'HARGA SATUAN'!$C$7:$C$1495,0),0)),0,OFFSET('HARGA SATUAN'!$I$6,MATCH(RAB!C125,'HARGA SATUAN'!$C$7:$C$1495,0),0))</f>
        <v>12500</v>
      </c>
      <c r="H125" s="307">
        <f t="shared" ca="1" si="52"/>
        <v>0</v>
      </c>
      <c r="I125" s="307">
        <f t="shared" ca="1" si="53"/>
        <v>75000</v>
      </c>
      <c r="J125" s="307">
        <f t="shared" ca="1" si="54"/>
        <v>0</v>
      </c>
      <c r="K125" s="308">
        <f t="shared" ca="1" si="55"/>
        <v>75000</v>
      </c>
      <c r="L125" s="314"/>
      <c r="M125" s="288" t="str">
        <f t="shared" ca="1" si="35"/>
        <v/>
      </c>
      <c r="N125" s="314"/>
      <c r="O125" s="309"/>
      <c r="P125" s="309"/>
      <c r="Q125" s="290"/>
      <c r="R125" s="282"/>
      <c r="S125" s="310"/>
      <c r="T125" s="287"/>
      <c r="U125" s="287"/>
      <c r="V125" s="287"/>
    </row>
    <row r="126" spans="1:22" s="315" customFormat="1">
      <c r="A126" s="282"/>
      <c r="B126" s="316">
        <v>3</v>
      </c>
      <c r="C126" s="317" t="s">
        <v>206</v>
      </c>
      <c r="D126" s="304" t="str">
        <f ca="1">IF(ISERROR(OFFSET('HARGA SATUAN'!$D$6,MATCH(RAB!C126,'HARGA SATUAN'!$C$7:$C$1495,0),0)),"",OFFSET('HARGA SATUAN'!$D$6,MATCH(RAB!C126,'HARGA SATUAN'!$C$7:$C$1495,0),0))</f>
        <v>HDW</v>
      </c>
      <c r="E126" s="305" t="str">
        <f ca="1">IF(B126="+","Unit",IF(ISERROR(OFFSET('HARGA SATUAN'!$E$6,MATCH(RAB!C126,'HARGA SATUAN'!$C$7:$C$1495,0),0)),"",OFFSET('HARGA SATUAN'!$E$6,MATCH(RAB!C126,'HARGA SATUAN'!$C$7:$C$1495,0),0)))</f>
        <v>Mtr</v>
      </c>
      <c r="F126" s="495">
        <f>F123*12</f>
        <v>72</v>
      </c>
      <c r="G126" s="306">
        <f ca="1">IF(ISERROR(OFFSET('HARGA SATUAN'!$I$6,MATCH(RAB!C126,'HARGA SATUAN'!$C$7:$C$1495,0),0)),0,OFFSET('HARGA SATUAN'!$I$6,MATCH(RAB!C126,'HARGA SATUAN'!$C$7:$C$1495,0),0))</f>
        <v>39204</v>
      </c>
      <c r="H126" s="307">
        <f t="shared" ca="1" si="52"/>
        <v>0</v>
      </c>
      <c r="I126" s="307">
        <f t="shared" ca="1" si="53"/>
        <v>2822688</v>
      </c>
      <c r="J126" s="307">
        <f t="shared" ca="1" si="54"/>
        <v>0</v>
      </c>
      <c r="K126" s="308">
        <f t="shared" ca="1" si="55"/>
        <v>2822688</v>
      </c>
      <c r="L126" s="314"/>
      <c r="M126" s="288" t="str">
        <f t="shared" ca="1" si="35"/>
        <v/>
      </c>
      <c r="N126" s="314"/>
      <c r="O126" s="309"/>
      <c r="P126" s="309"/>
      <c r="Q126" s="290"/>
      <c r="R126" s="282"/>
      <c r="S126" s="310"/>
      <c r="T126" s="287"/>
      <c r="U126" s="287"/>
      <c r="V126" s="287"/>
    </row>
    <row r="127" spans="1:22" s="315" customFormat="1">
      <c r="A127" s="282"/>
      <c r="B127" s="316">
        <v>4</v>
      </c>
      <c r="C127" s="317" t="s">
        <v>287</v>
      </c>
      <c r="D127" s="304" t="str">
        <f ca="1">IF(ISERROR(OFFSET('HARGA SATUAN'!$D$6,MATCH(RAB!C127,'HARGA SATUAN'!$C$7:$C$1495,0),0)),"",OFFSET('HARGA SATUAN'!$D$6,MATCH(RAB!C127,'HARGA SATUAN'!$C$7:$C$1495,0),0))</f>
        <v>HDW</v>
      </c>
      <c r="E127" s="305" t="str">
        <f ca="1">IF(B127="+","Unit",IF(ISERROR(OFFSET('HARGA SATUAN'!$E$6,MATCH(RAB!C127,'HARGA SATUAN'!$C$7:$C$1495,0),0)),"",OFFSET('HARGA SATUAN'!$E$6,MATCH(RAB!C127,'HARGA SATUAN'!$C$7:$C$1495,0),0)))</f>
        <v>Bh</v>
      </c>
      <c r="F127" s="495">
        <f>F123*2</f>
        <v>12</v>
      </c>
      <c r="G127" s="306">
        <f ca="1">IF(ISERROR(OFFSET('HARGA SATUAN'!$I$6,MATCH(RAB!C127,'HARGA SATUAN'!$C$7:$C$1495,0),0)),0,OFFSET('HARGA SATUAN'!$I$6,MATCH(RAB!C127,'HARGA SATUAN'!$C$7:$C$1495,0),0))</f>
        <v>40000</v>
      </c>
      <c r="H127" s="307">
        <f t="shared" ca="1" si="52"/>
        <v>0</v>
      </c>
      <c r="I127" s="307">
        <f t="shared" ca="1" si="53"/>
        <v>480000</v>
      </c>
      <c r="J127" s="307">
        <f t="shared" ca="1" si="54"/>
        <v>0</v>
      </c>
      <c r="K127" s="308">
        <f t="shared" ca="1" si="55"/>
        <v>480000</v>
      </c>
      <c r="L127" s="314"/>
      <c r="M127" s="288" t="str">
        <f t="shared" ca="1" si="35"/>
        <v/>
      </c>
      <c r="N127" s="314"/>
      <c r="O127" s="309"/>
      <c r="P127" s="309"/>
      <c r="Q127" s="290"/>
      <c r="R127" s="282"/>
      <c r="S127" s="310"/>
      <c r="T127" s="287"/>
      <c r="U127" s="287"/>
      <c r="V127" s="287"/>
    </row>
    <row r="128" spans="1:22" s="315" customFormat="1">
      <c r="A128" s="282"/>
      <c r="B128" s="316">
        <v>5</v>
      </c>
      <c r="C128" s="317" t="s">
        <v>26</v>
      </c>
      <c r="D128" s="304" t="str">
        <f ca="1">IF(ISERROR(OFFSET('HARGA SATUAN'!$D$6,MATCH(RAB!C128,'HARGA SATUAN'!$C$7:$C$1495,0),0)),"",OFFSET('HARGA SATUAN'!$D$6,MATCH(RAB!C128,'HARGA SATUAN'!$C$7:$C$1495,0),0))</f>
        <v>HDW</v>
      </c>
      <c r="E128" s="305" t="str">
        <f ca="1">IF(B128="+","Unit",IF(ISERROR(OFFSET('HARGA SATUAN'!$E$6,MATCH(RAB!C128,'HARGA SATUAN'!$C$7:$C$1495,0),0)),"",OFFSET('HARGA SATUAN'!$E$6,MATCH(RAB!C128,'HARGA SATUAN'!$C$7:$C$1495,0),0)))</f>
        <v>Bh</v>
      </c>
      <c r="F128" s="495">
        <f>F123*1</f>
        <v>6</v>
      </c>
      <c r="G128" s="306">
        <f ca="1">IF(ISERROR(OFFSET('HARGA SATUAN'!$I$6,MATCH(RAB!C128,'HARGA SATUAN'!$C$7:$C$1495,0),0)),0,OFFSET('HARGA SATUAN'!$I$6,MATCH(RAB!C128,'HARGA SATUAN'!$C$7:$C$1495,0),0))</f>
        <v>2500</v>
      </c>
      <c r="H128" s="307">
        <f t="shared" ca="1" si="52"/>
        <v>0</v>
      </c>
      <c r="I128" s="307">
        <f t="shared" ca="1" si="53"/>
        <v>15000</v>
      </c>
      <c r="J128" s="307">
        <f t="shared" ca="1" si="54"/>
        <v>0</v>
      </c>
      <c r="K128" s="308">
        <f t="shared" ca="1" si="55"/>
        <v>15000</v>
      </c>
      <c r="L128" s="314"/>
      <c r="M128" s="288" t="str">
        <f t="shared" ca="1" si="35"/>
        <v/>
      </c>
      <c r="N128" s="314"/>
      <c r="O128" s="309"/>
      <c r="P128" s="309"/>
      <c r="Q128" s="290"/>
      <c r="R128" s="282"/>
      <c r="S128" s="310"/>
      <c r="T128" s="287"/>
      <c r="U128" s="287"/>
      <c r="V128" s="287"/>
    </row>
    <row r="129" spans="1:22" s="315" customFormat="1">
      <c r="A129" s="282"/>
      <c r="B129" s="316">
        <v>6</v>
      </c>
      <c r="C129" s="317" t="s">
        <v>760</v>
      </c>
      <c r="D129" s="304" t="str">
        <f ca="1">IF(ISERROR(OFFSET('HARGA SATUAN'!$D$6,MATCH(RAB!C129,'HARGA SATUAN'!$C$7:$C$1495,0),0)),"",OFFSET('HARGA SATUAN'!$D$6,MATCH(RAB!C129,'HARGA SATUAN'!$C$7:$C$1495,0),0))</f>
        <v>JASA</v>
      </c>
      <c r="E129" s="305" t="str">
        <f ca="1">IF(B129="+","Unit",IF(ISERROR(OFFSET('HARGA SATUAN'!$E$6,MATCH(RAB!C129,'HARGA SATUAN'!$C$7:$C$1495,0),0)),"",OFFSET('HARGA SATUAN'!$E$6,MATCH(RAB!C129,'HARGA SATUAN'!$C$7:$C$1495,0),0)))</f>
        <v>Unit</v>
      </c>
      <c r="F129" s="495">
        <f>F123*1</f>
        <v>6</v>
      </c>
      <c r="G129" s="306">
        <f ca="1">IF(ISERROR(OFFSET('HARGA SATUAN'!$I$6,MATCH(RAB!C129,'HARGA SATUAN'!$C$7:$C$1495,0),0)),0,OFFSET('HARGA SATUAN'!$I$6,MATCH(RAB!C129,'HARGA SATUAN'!$C$7:$C$1495,0),0))</f>
        <v>36600</v>
      </c>
      <c r="H129" s="307">
        <f t="shared" ca="1" si="52"/>
        <v>0</v>
      </c>
      <c r="I129" s="307">
        <f t="shared" ca="1" si="53"/>
        <v>0</v>
      </c>
      <c r="J129" s="307">
        <f t="shared" ca="1" si="54"/>
        <v>219600</v>
      </c>
      <c r="K129" s="308">
        <f t="shared" ca="1" si="55"/>
        <v>219600</v>
      </c>
      <c r="L129" s="314"/>
      <c r="M129" s="288" t="str">
        <f t="shared" ref="M129:M178" ca="1" si="56">IF(AND(F129&gt;0,F128=0),"",IF(AND(ISBLANK(F129)=FALSE,K129=0),"WARNING",""))</f>
        <v/>
      </c>
      <c r="N129" s="314"/>
      <c r="O129" s="309"/>
      <c r="P129" s="309"/>
      <c r="Q129" s="290"/>
      <c r="R129" s="282"/>
      <c r="S129" s="310"/>
      <c r="T129" s="287"/>
      <c r="U129" s="287"/>
      <c r="V129" s="287"/>
    </row>
    <row r="130" spans="1:22" s="315" customFormat="1">
      <c r="A130" s="282"/>
      <c r="B130" s="316"/>
      <c r="C130" s="317"/>
      <c r="D130" s="304" t="str">
        <f ca="1">IF(ISERROR(OFFSET('HARGA SATUAN'!$D$6,MATCH(RAB!C130,'HARGA SATUAN'!$C$7:$C$1495,0),0)),"",OFFSET('HARGA SATUAN'!$D$6,MATCH(RAB!C130,'HARGA SATUAN'!$C$7:$C$1495,0),0))</f>
        <v/>
      </c>
      <c r="E130" s="305" t="str">
        <f ca="1">IF(B130="+","Unit",IF(ISERROR(OFFSET('HARGA SATUAN'!$E$6,MATCH(RAB!C130,'HARGA SATUAN'!$C$7:$C$1495,0),0)),"",OFFSET('HARGA SATUAN'!$E$6,MATCH(RAB!C130,'HARGA SATUAN'!$C$7:$C$1495,0),0)))</f>
        <v/>
      </c>
      <c r="F130" s="495"/>
      <c r="G130" s="306">
        <f ca="1">IF(ISERROR(OFFSET('HARGA SATUAN'!$I$6,MATCH(RAB!C130,'HARGA SATUAN'!$C$7:$C$1495,0),0)),0,OFFSET('HARGA SATUAN'!$I$6,MATCH(RAB!C130,'HARGA SATUAN'!$C$7:$C$1495,0),0))</f>
        <v>0</v>
      </c>
      <c r="H130" s="307">
        <f t="shared" ca="1" si="52"/>
        <v>0</v>
      </c>
      <c r="I130" s="307">
        <f t="shared" ca="1" si="53"/>
        <v>0</v>
      </c>
      <c r="J130" s="307">
        <f t="shared" ca="1" si="54"/>
        <v>0</v>
      </c>
      <c r="K130" s="308">
        <f t="shared" ca="1" si="55"/>
        <v>0</v>
      </c>
      <c r="L130" s="314"/>
      <c r="M130" s="288" t="str">
        <f t="shared" ca="1" si="56"/>
        <v/>
      </c>
      <c r="N130" s="314"/>
      <c r="O130" s="309"/>
      <c r="P130" s="309"/>
      <c r="Q130" s="290"/>
      <c r="R130" s="282"/>
      <c r="S130" s="310"/>
      <c r="T130" s="287"/>
      <c r="U130" s="287"/>
      <c r="V130" s="287"/>
    </row>
    <row r="131" spans="1:22" s="315" customFormat="1">
      <c r="A131" s="282"/>
      <c r="B131" s="316" t="s">
        <v>1035</v>
      </c>
      <c r="C131" s="317" t="s">
        <v>1621</v>
      </c>
      <c r="D131" s="304" t="str">
        <f ca="1">IF(ISERROR(OFFSET('HARGA SATUAN'!$D$6,MATCH(RAB!C131,'HARGA SATUAN'!$C$7:$C$1495,0),0)),"",OFFSET('HARGA SATUAN'!$D$6,MATCH(RAB!C131,'HARGA SATUAN'!$C$7:$C$1495,0),0))</f>
        <v/>
      </c>
      <c r="E131" s="305" t="str">
        <f ca="1">IF(B131="+","Unit",IF(ISERROR(OFFSET('HARGA SATUAN'!$E$6,MATCH(RAB!C131,'HARGA SATUAN'!$C$7:$C$1495,0),0)),"",OFFSET('HARGA SATUAN'!$E$6,MATCH(RAB!C131,'HARGA SATUAN'!$C$7:$C$1495,0),0)))</f>
        <v>Unit</v>
      </c>
      <c r="F131" s="415">
        <f>F123</f>
        <v>6</v>
      </c>
      <c r="G131" s="306">
        <f ca="1">IF(ISERROR(OFFSET('HARGA SATUAN'!$I$6,MATCH(RAB!C131,'HARGA SATUAN'!$C$7:$C$1495,0),0)),0,OFFSET('HARGA SATUAN'!$I$6,MATCH(RAB!C131,'HARGA SATUAN'!$C$7:$C$1495,0),0))</f>
        <v>0</v>
      </c>
      <c r="H131" s="307">
        <f t="shared" ca="1" si="52"/>
        <v>0</v>
      </c>
      <c r="I131" s="307">
        <f t="shared" ca="1" si="53"/>
        <v>0</v>
      </c>
      <c r="J131" s="307">
        <f t="shared" ca="1" si="54"/>
        <v>0</v>
      </c>
      <c r="K131" s="308">
        <f t="shared" ca="1" si="55"/>
        <v>0</v>
      </c>
      <c r="L131" s="314"/>
      <c r="M131" s="288" t="str">
        <f t="shared" si="56"/>
        <v/>
      </c>
      <c r="N131" s="314"/>
      <c r="O131" s="309"/>
      <c r="P131" s="309"/>
      <c r="Q131" s="290"/>
      <c r="R131" s="282"/>
      <c r="S131" s="310"/>
      <c r="T131" s="287"/>
      <c r="U131" s="287"/>
      <c r="V131" s="287"/>
    </row>
    <row r="132" spans="1:22" s="315" customFormat="1">
      <c r="A132" s="282"/>
      <c r="B132" s="316">
        <v>1</v>
      </c>
      <c r="C132" s="317" t="s">
        <v>597</v>
      </c>
      <c r="D132" s="304" t="str">
        <f ca="1">IF(ISERROR(OFFSET('HARGA SATUAN'!$D$6,MATCH(RAB!C132,'HARGA SATUAN'!$C$7:$C$1495,0),0)),"",OFFSET('HARGA SATUAN'!$D$6,MATCH(RAB!C132,'HARGA SATUAN'!$C$7:$C$1495,0),0))</f>
        <v>HDW</v>
      </c>
      <c r="E132" s="305" t="str">
        <f ca="1">IF(B132="+","Unit",IF(ISERROR(OFFSET('HARGA SATUAN'!$E$6,MATCH(RAB!C132,'HARGA SATUAN'!$C$7:$C$1495,0),0)),"",OFFSET('HARGA SATUAN'!$E$6,MATCH(RAB!C132,'HARGA SATUAN'!$C$7:$C$1495,0),0)))</f>
        <v>Bh</v>
      </c>
      <c r="F132" s="415">
        <f>F131*1</f>
        <v>6</v>
      </c>
      <c r="G132" s="306">
        <f ca="1">IF(ISERROR(OFFSET('HARGA SATUAN'!$I$6,MATCH(RAB!C132,'HARGA SATUAN'!$C$7:$C$1495,0),0)),0,OFFSET('HARGA SATUAN'!$I$6,MATCH(RAB!C132,'HARGA SATUAN'!$C$7:$C$1495,0),0))</f>
        <v>120900</v>
      </c>
      <c r="H132" s="307">
        <f t="shared" ca="1" si="52"/>
        <v>0</v>
      </c>
      <c r="I132" s="307">
        <f t="shared" ca="1" si="53"/>
        <v>725400</v>
      </c>
      <c r="J132" s="307">
        <f t="shared" ca="1" si="54"/>
        <v>0</v>
      </c>
      <c r="K132" s="308">
        <f t="shared" ca="1" si="55"/>
        <v>725400</v>
      </c>
      <c r="L132" s="314"/>
      <c r="M132" s="288" t="str">
        <f t="shared" ca="1" si="56"/>
        <v/>
      </c>
      <c r="N132" s="314"/>
      <c r="O132" s="309"/>
      <c r="P132" s="309"/>
      <c r="Q132" s="290"/>
      <c r="R132" s="282"/>
      <c r="S132" s="310"/>
      <c r="T132" s="287"/>
      <c r="U132" s="287"/>
      <c r="V132" s="287"/>
    </row>
    <row r="133" spans="1:22" s="315" customFormat="1">
      <c r="A133" s="282"/>
      <c r="B133" s="316">
        <v>2</v>
      </c>
      <c r="C133" s="317" t="s">
        <v>261</v>
      </c>
      <c r="D133" s="304" t="str">
        <f ca="1">IF(ISERROR(OFFSET('HARGA SATUAN'!$D$6,MATCH(RAB!C133,'HARGA SATUAN'!$C$7:$C$1495,0),0)),"",OFFSET('HARGA SATUAN'!$D$6,MATCH(RAB!C133,'HARGA SATUAN'!$C$7:$C$1495,0),0))</f>
        <v>HDW</v>
      </c>
      <c r="E133" s="305" t="str">
        <f ca="1">IF(B133="+","Unit",IF(ISERROR(OFFSET('HARGA SATUAN'!$E$6,MATCH(RAB!C133,'HARGA SATUAN'!$C$7:$C$1495,0),0)),"",OFFSET('HARGA SATUAN'!$E$6,MATCH(RAB!C133,'HARGA SATUAN'!$C$7:$C$1495,0),0)))</f>
        <v>Bh</v>
      </c>
      <c r="F133" s="495">
        <f>F131*1</f>
        <v>6</v>
      </c>
      <c r="G133" s="306">
        <f ca="1">IF(ISERROR(OFFSET('HARGA SATUAN'!$I$6,MATCH(RAB!C133,'HARGA SATUAN'!$C$7:$C$1495,0),0)),0,OFFSET('HARGA SATUAN'!$I$6,MATCH(RAB!C133,'HARGA SATUAN'!$C$7:$C$1495,0),0))</f>
        <v>135800</v>
      </c>
      <c r="H133" s="307">
        <f t="shared" ca="1" si="52"/>
        <v>0</v>
      </c>
      <c r="I133" s="307">
        <f t="shared" ca="1" si="53"/>
        <v>814800</v>
      </c>
      <c r="J133" s="307">
        <f t="shared" ca="1" si="54"/>
        <v>0</v>
      </c>
      <c r="K133" s="308">
        <f t="shared" ca="1" si="55"/>
        <v>814800</v>
      </c>
      <c r="L133" s="314"/>
      <c r="M133" s="288" t="str">
        <f t="shared" ca="1" si="56"/>
        <v/>
      </c>
      <c r="N133" s="314"/>
      <c r="O133" s="309"/>
      <c r="P133" s="309"/>
      <c r="Q133" s="290"/>
      <c r="R133" s="282"/>
      <c r="S133" s="310"/>
      <c r="T133" s="287"/>
      <c r="U133" s="287"/>
      <c r="V133" s="287"/>
    </row>
    <row r="134" spans="1:22" s="315" customFormat="1">
      <c r="A134" s="282"/>
      <c r="B134" s="316">
        <v>3</v>
      </c>
      <c r="C134" s="317" t="s">
        <v>214</v>
      </c>
      <c r="D134" s="304" t="str">
        <f ca="1">IF(ISERROR(OFFSET('HARGA SATUAN'!$D$6,MATCH(RAB!C134,'HARGA SATUAN'!$C$7:$C$1495,0),0)),"",OFFSET('HARGA SATUAN'!$D$6,MATCH(RAB!C134,'HARGA SATUAN'!$C$7:$C$1495,0),0))</f>
        <v>HDW</v>
      </c>
      <c r="E134" s="305" t="str">
        <f ca="1">IF(B134="+","Unit",IF(ISERROR(OFFSET('HARGA SATUAN'!$E$6,MATCH(RAB!C134,'HARGA SATUAN'!$C$7:$C$1495,0),0)),"",OFFSET('HARGA SATUAN'!$E$6,MATCH(RAB!C134,'HARGA SATUAN'!$C$7:$C$1495,0),0)))</f>
        <v>Bh</v>
      </c>
      <c r="F134" s="495">
        <f>F131*1</f>
        <v>6</v>
      </c>
      <c r="G134" s="306">
        <f ca="1">IF(ISERROR(OFFSET('HARGA SATUAN'!$I$6,MATCH(RAB!C134,'HARGA SATUAN'!$C$7:$C$1495,0),0)),0,OFFSET('HARGA SATUAN'!$I$6,MATCH(RAB!C134,'HARGA SATUAN'!$C$7:$C$1495,0),0))</f>
        <v>4500</v>
      </c>
      <c r="H134" s="307">
        <f t="shared" ca="1" si="52"/>
        <v>0</v>
      </c>
      <c r="I134" s="307">
        <f t="shared" ca="1" si="53"/>
        <v>27000</v>
      </c>
      <c r="J134" s="307">
        <f t="shared" ca="1" si="54"/>
        <v>0</v>
      </c>
      <c r="K134" s="308">
        <f t="shared" ca="1" si="55"/>
        <v>27000</v>
      </c>
      <c r="L134" s="314"/>
      <c r="M134" s="288" t="str">
        <f t="shared" ca="1" si="56"/>
        <v/>
      </c>
      <c r="N134" s="314"/>
      <c r="O134" s="309"/>
      <c r="P134" s="309"/>
      <c r="Q134" s="290"/>
      <c r="R134" s="282"/>
      <c r="S134" s="310"/>
      <c r="T134" s="287"/>
      <c r="U134" s="287"/>
      <c r="V134" s="287"/>
    </row>
    <row r="135" spans="1:22" s="315" customFormat="1">
      <c r="A135" s="282"/>
      <c r="B135" s="316">
        <v>4</v>
      </c>
      <c r="C135" s="317" t="s">
        <v>768</v>
      </c>
      <c r="D135" s="304" t="str">
        <f ca="1">IF(ISERROR(OFFSET('HARGA SATUAN'!$D$6,MATCH(RAB!C135,'HARGA SATUAN'!$C$7:$C$1495,0),0)),"",OFFSET('HARGA SATUAN'!$D$6,MATCH(RAB!C135,'HARGA SATUAN'!$C$7:$C$1495,0),0))</f>
        <v>JASA</v>
      </c>
      <c r="E135" s="305" t="str">
        <f ca="1">IF(B135="+","Unit",IF(ISERROR(OFFSET('HARGA SATUAN'!$E$6,MATCH(RAB!C135,'HARGA SATUAN'!$C$7:$C$1495,0),0)),"",OFFSET('HARGA SATUAN'!$E$6,MATCH(RAB!C135,'HARGA SATUAN'!$C$7:$C$1495,0),0)))</f>
        <v>Unit</v>
      </c>
      <c r="F135" s="495">
        <f>F131*1</f>
        <v>6</v>
      </c>
      <c r="G135" s="306">
        <f ca="1">IF(ISERROR(OFFSET('HARGA SATUAN'!$I$6,MATCH(RAB!C135,'HARGA SATUAN'!$C$7:$C$1495,0),0)),0,OFFSET('HARGA SATUAN'!$I$6,MATCH(RAB!C135,'HARGA SATUAN'!$C$7:$C$1495,0),0))</f>
        <v>55500</v>
      </c>
      <c r="H135" s="307">
        <f t="shared" ca="1" si="52"/>
        <v>0</v>
      </c>
      <c r="I135" s="307">
        <f t="shared" ca="1" si="53"/>
        <v>0</v>
      </c>
      <c r="J135" s="307">
        <f t="shared" ca="1" si="54"/>
        <v>333000</v>
      </c>
      <c r="K135" s="308">
        <f t="shared" ca="1" si="55"/>
        <v>333000</v>
      </c>
      <c r="L135" s="314"/>
      <c r="M135" s="288" t="str">
        <f t="shared" ca="1" si="56"/>
        <v/>
      </c>
      <c r="N135" s="314"/>
      <c r="O135" s="309"/>
      <c r="P135" s="309"/>
      <c r="Q135" s="290"/>
      <c r="R135" s="282"/>
      <c r="S135" s="310"/>
      <c r="T135" s="287"/>
      <c r="U135" s="287"/>
      <c r="V135" s="287"/>
    </row>
    <row r="136" spans="1:22" s="315" customFormat="1">
      <c r="A136" s="282"/>
      <c r="B136" s="316"/>
      <c r="C136" s="317"/>
      <c r="D136" s="304" t="str">
        <f ca="1">IF(ISERROR(OFFSET('HARGA SATUAN'!$D$6,MATCH(RAB!C136,'HARGA SATUAN'!$C$7:$C$1495,0),0)),"",OFFSET('HARGA SATUAN'!$D$6,MATCH(RAB!C136,'HARGA SATUAN'!$C$7:$C$1495,0),0))</f>
        <v/>
      </c>
      <c r="E136" s="305" t="str">
        <f ca="1">IF(B136="+","Unit",IF(ISERROR(OFFSET('HARGA SATUAN'!$E$6,MATCH(RAB!C136,'HARGA SATUAN'!$C$7:$C$1495,0),0)),"",OFFSET('HARGA SATUAN'!$E$6,MATCH(RAB!C136,'HARGA SATUAN'!$C$7:$C$1495,0),0)))</f>
        <v/>
      </c>
      <c r="F136" s="495"/>
      <c r="G136" s="306">
        <f ca="1">IF(ISERROR(OFFSET('HARGA SATUAN'!$I$6,MATCH(RAB!C136,'HARGA SATUAN'!$C$7:$C$1495,0),0)),0,OFFSET('HARGA SATUAN'!$I$6,MATCH(RAB!C136,'HARGA SATUAN'!$C$7:$C$1495,0),0))</f>
        <v>0</v>
      </c>
      <c r="H136" s="307">
        <f t="shared" ca="1" si="52"/>
        <v>0</v>
      </c>
      <c r="I136" s="307">
        <f t="shared" ca="1" si="53"/>
        <v>0</v>
      </c>
      <c r="J136" s="307">
        <f t="shared" ca="1" si="54"/>
        <v>0</v>
      </c>
      <c r="K136" s="308">
        <f t="shared" ca="1" si="55"/>
        <v>0</v>
      </c>
      <c r="L136" s="314"/>
      <c r="M136" s="288" t="str">
        <f t="shared" ca="1" si="56"/>
        <v/>
      </c>
      <c r="N136" s="314"/>
      <c r="O136" s="309"/>
      <c r="P136" s="309"/>
      <c r="Q136" s="290"/>
      <c r="R136" s="282"/>
      <c r="S136" s="310"/>
      <c r="T136" s="287"/>
      <c r="U136" s="287"/>
      <c r="V136" s="287"/>
    </row>
    <row r="137" spans="1:22" s="315" customFormat="1">
      <c r="A137" s="282"/>
      <c r="B137" s="316" t="s">
        <v>1035</v>
      </c>
      <c r="C137" s="317" t="s">
        <v>1622</v>
      </c>
      <c r="D137" s="304" t="str">
        <f ca="1">IF(ISERROR(OFFSET('HARGA SATUAN'!$D$6,MATCH(RAB!C137,'HARGA SATUAN'!$C$7:$C$1495,0),0)),"",OFFSET('HARGA SATUAN'!$D$6,MATCH(RAB!C137,'HARGA SATUAN'!$C$7:$C$1495,0),0))</f>
        <v/>
      </c>
      <c r="E137" s="305" t="str">
        <f ca="1">IF(B137="+","Unit",IF(ISERROR(OFFSET('HARGA SATUAN'!$E$6,MATCH(RAB!C137,'HARGA SATUAN'!$C$7:$C$1495,0),0)),"",OFFSET('HARGA SATUAN'!$E$6,MATCH(RAB!C137,'HARGA SATUAN'!$C$7:$C$1495,0),0)))</f>
        <v>Unit</v>
      </c>
      <c r="F137" s="507">
        <v>6</v>
      </c>
      <c r="G137" s="306">
        <f ca="1">IF(ISERROR(OFFSET('HARGA SATUAN'!$I$6,MATCH(RAB!C137,'HARGA SATUAN'!$C$7:$C$1495,0),0)),0,OFFSET('HARGA SATUAN'!$I$6,MATCH(RAB!C137,'HARGA SATUAN'!$C$7:$C$1495,0),0))</f>
        <v>0</v>
      </c>
      <c r="H137" s="307">
        <f ca="1">IF(OR(D137="MDU",D137="MDU-KD"),(IF($O$3="RAB NON MDU","PLN KD",G137*F137)),0)</f>
        <v>0</v>
      </c>
      <c r="I137" s="307">
        <f ca="1">IF(D137="HDW",G137*F137,0)</f>
        <v>0</v>
      </c>
      <c r="J137" s="307">
        <f ca="1">IF(D137="JASA",G137*F137,0)</f>
        <v>0</v>
      </c>
      <c r="K137" s="308">
        <f ca="1">SUM(H137:J137)</f>
        <v>0</v>
      </c>
      <c r="L137" s="314"/>
      <c r="M137" s="288" t="e">
        <f>IF(AND(F137&gt;0,#REF!=0),"",IF(AND(ISBLANK(F137)=FALSE,K137=0),"WARNING",""))</f>
        <v>#REF!</v>
      </c>
      <c r="N137" s="314"/>
      <c r="O137" s="309"/>
      <c r="P137" s="309"/>
      <c r="Q137" s="290"/>
      <c r="R137" s="282"/>
      <c r="S137" s="310"/>
      <c r="T137" s="287"/>
      <c r="U137" s="287"/>
      <c r="V137" s="287"/>
    </row>
    <row r="138" spans="1:22" s="315" customFormat="1">
      <c r="A138" s="282"/>
      <c r="B138" s="316">
        <v>1</v>
      </c>
      <c r="C138" s="317" t="s">
        <v>30</v>
      </c>
      <c r="D138" s="304" t="str">
        <f ca="1">IF(ISERROR(OFFSET('HARGA SATUAN'!$D$6,MATCH(RAB!C138,'HARGA SATUAN'!$C$7:$C$1495,0),0)),"",OFFSET('HARGA SATUAN'!$D$6,MATCH(RAB!C138,'HARGA SATUAN'!$C$7:$C$1495,0),0))</f>
        <v>HDW</v>
      </c>
      <c r="E138" s="305" t="str">
        <f ca="1">IF(B138="+","Unit",IF(ISERROR(OFFSET('HARGA SATUAN'!$E$6,MATCH(RAB!C138,'HARGA SATUAN'!$C$7:$C$1495,0),0)),"",OFFSET('HARGA SATUAN'!$E$6,MATCH(RAB!C138,'HARGA SATUAN'!$C$7:$C$1495,0),0)))</f>
        <v>Bh</v>
      </c>
      <c r="F138" s="495">
        <f>F137*1</f>
        <v>6</v>
      </c>
      <c r="G138" s="306">
        <f ca="1">IF(ISERROR(OFFSET('HARGA SATUAN'!$I$6,MATCH(RAB!C138,'HARGA SATUAN'!$C$7:$C$1495,0),0)),0,OFFSET('HARGA SATUAN'!$I$6,MATCH(RAB!C138,'HARGA SATUAN'!$C$7:$C$1495,0),0))</f>
        <v>47459</v>
      </c>
      <c r="H138" s="307">
        <f ca="1">IF(OR(D138="MDU",D138="MDU-KD"),(IF($O$3="RAB NON MDU","PLN KD",G138*F138)),0)</f>
        <v>0</v>
      </c>
      <c r="I138" s="307">
        <f ca="1">IF(D138="HDW",G138*F138,0)</f>
        <v>284754</v>
      </c>
      <c r="J138" s="307">
        <f ca="1">IF(D138="JASA",G138*F138,0)</f>
        <v>0</v>
      </c>
      <c r="K138" s="308">
        <f ca="1">SUM(H138:J138)</f>
        <v>284754</v>
      </c>
      <c r="L138" s="314"/>
      <c r="M138" s="288" t="str">
        <f t="shared" ca="1" si="56"/>
        <v/>
      </c>
      <c r="N138" s="314"/>
      <c r="O138" s="309"/>
      <c r="P138" s="309"/>
      <c r="Q138" s="290"/>
      <c r="R138" s="282"/>
      <c r="S138" s="310"/>
      <c r="T138" s="287"/>
      <c r="U138" s="287"/>
      <c r="V138" s="287"/>
    </row>
    <row r="139" spans="1:22" s="315" customFormat="1">
      <c r="A139" s="282"/>
      <c r="B139" s="486">
        <v>2</v>
      </c>
      <c r="C139" s="487" t="s">
        <v>32</v>
      </c>
      <c r="D139" s="304" t="str">
        <f ca="1">IF(ISERROR(OFFSET('HARGA SATUAN'!$D$6,MATCH(RAB!C139,'HARGA SATUAN'!$C$7:$C$1495,0),0)),"",OFFSET('HARGA SATUAN'!$D$6,MATCH(RAB!C139,'HARGA SATUAN'!$C$7:$C$1495,0),0))</f>
        <v>HDW</v>
      </c>
      <c r="E139" s="305" t="str">
        <f ca="1">IF(B139="+","Unit",IF(ISERROR(OFFSET('HARGA SATUAN'!$E$6,MATCH(RAB!C139,'HARGA SATUAN'!$C$7:$C$1495,0),0)),"",OFFSET('HARGA SATUAN'!$E$6,MATCH(RAB!C139,'HARGA SATUAN'!$C$7:$C$1495,0),0)))</f>
        <v>Mtr</v>
      </c>
      <c r="F139" s="495">
        <f>F137*1</f>
        <v>6</v>
      </c>
      <c r="G139" s="306">
        <f ca="1">IF(ISERROR(OFFSET('HARGA SATUAN'!$I$6,MATCH(RAB!C139,'HARGA SATUAN'!$C$7:$C$1495,0),0)),0,OFFSET('HARGA SATUAN'!$I$6,MATCH(RAB!C139,'HARGA SATUAN'!$C$7:$C$1495,0),0))</f>
        <v>30000</v>
      </c>
      <c r="H139" s="307">
        <f ca="1">IF(OR(D139="MDU",D139="MDU-KD"),(IF($O$3="RAB NON MDU","PLN KD",G139*F139)),0)</f>
        <v>0</v>
      </c>
      <c r="I139" s="307">
        <f ca="1">IF(D139="HDW",G139*F139,0)</f>
        <v>180000</v>
      </c>
      <c r="J139" s="307">
        <f ca="1">IF(D139="JASA",G139*F139,0)</f>
        <v>0</v>
      </c>
      <c r="K139" s="308">
        <f ca="1">SUM(H139:J139)</f>
        <v>180000</v>
      </c>
      <c r="L139" s="314"/>
      <c r="M139" s="288" t="str">
        <f t="shared" ca="1" si="56"/>
        <v/>
      </c>
      <c r="N139" s="314"/>
      <c r="O139" s="309"/>
      <c r="P139" s="309"/>
      <c r="Q139" s="290"/>
      <c r="R139" s="282"/>
      <c r="S139" s="310"/>
      <c r="T139" s="287"/>
      <c r="U139" s="287"/>
      <c r="V139" s="287"/>
    </row>
    <row r="140" spans="1:22" s="315" customFormat="1">
      <c r="A140" s="282"/>
      <c r="B140" s="486">
        <v>3</v>
      </c>
      <c r="C140" s="487" t="s">
        <v>33</v>
      </c>
      <c r="D140" s="304" t="str">
        <f ca="1">IF(ISERROR(OFFSET('HARGA SATUAN'!$D$6,MATCH(RAB!C140,'HARGA SATUAN'!$C$7:$C$1495,0),0)),"",OFFSET('HARGA SATUAN'!$D$6,MATCH(RAB!C140,'HARGA SATUAN'!$C$7:$C$1495,0),0))</f>
        <v>HDW</v>
      </c>
      <c r="E140" s="305" t="str">
        <f ca="1">IF(B140="+","Unit",IF(ISERROR(OFFSET('HARGA SATUAN'!$E$6,MATCH(RAB!C140,'HARGA SATUAN'!$C$7:$C$1495,0),0)),"",OFFSET('HARGA SATUAN'!$E$6,MATCH(RAB!C140,'HARGA SATUAN'!$C$7:$C$1495,0),0)))</f>
        <v>Bh</v>
      </c>
      <c r="F140" s="495">
        <f>F137*1</f>
        <v>6</v>
      </c>
      <c r="G140" s="306">
        <f ca="1">IF(ISERROR(OFFSET('HARGA SATUAN'!$I$6,MATCH(RAB!C140,'HARGA SATUAN'!$C$7:$C$1495,0),0)),0,OFFSET('HARGA SATUAN'!$I$6,MATCH(RAB!C140,'HARGA SATUAN'!$C$7:$C$1495,0),0))</f>
        <v>9500</v>
      </c>
      <c r="H140" s="307">
        <f ca="1">IF(OR(D140="MDU",D140="MDU-KD"),(IF($O$3="RAB NON MDU","PLN KD",G140*F140)),0)</f>
        <v>0</v>
      </c>
      <c r="I140" s="307">
        <f ca="1">IF(D140="HDW",G140*F140,0)</f>
        <v>57000</v>
      </c>
      <c r="J140" s="307">
        <f ca="1">IF(D140="JASA",G140*F140,0)</f>
        <v>0</v>
      </c>
      <c r="K140" s="308">
        <f ca="1">SUM(H140:J140)</f>
        <v>57000</v>
      </c>
      <c r="L140" s="314"/>
      <c r="M140" s="288" t="str">
        <f t="shared" ca="1" si="56"/>
        <v/>
      </c>
      <c r="N140" s="314"/>
      <c r="O140" s="309"/>
      <c r="P140" s="309"/>
      <c r="Q140" s="290"/>
      <c r="R140" s="282"/>
      <c r="S140" s="310"/>
      <c r="T140" s="287"/>
      <c r="U140" s="287"/>
      <c r="V140" s="287"/>
    </row>
    <row r="141" spans="1:22" s="315" customFormat="1">
      <c r="A141" s="282" t="e">
        <f>IF(AND(C141=0,#REF!=0,#REF!=0),"BLANKS",1)</f>
        <v>#REF!</v>
      </c>
      <c r="B141" s="486">
        <v>4</v>
      </c>
      <c r="C141" s="487" t="s">
        <v>738</v>
      </c>
      <c r="D141" s="304" t="str">
        <f ca="1">IF(ISERROR(OFFSET('HARGA SATUAN'!$D$6,MATCH(RAB!C141,'HARGA SATUAN'!$C$7:$C$1495,0),0)),"",OFFSET('HARGA SATUAN'!$D$6,MATCH(RAB!C141,'HARGA SATUAN'!$C$7:$C$1495,0),0))</f>
        <v>JASA</v>
      </c>
      <c r="E141" s="305" t="str">
        <f ca="1">IF(B141="+","Unit",IF(ISERROR(OFFSET('HARGA SATUAN'!$E$6,MATCH(RAB!C141,'HARGA SATUAN'!$C$7:$C$1495,0),0)),"",OFFSET('HARGA SATUAN'!$E$6,MATCH(RAB!C141,'HARGA SATUAN'!$C$7:$C$1495,0),0)))</f>
        <v>Unit</v>
      </c>
      <c r="F141" s="495">
        <f>F137*1</f>
        <v>6</v>
      </c>
      <c r="G141" s="306">
        <f ca="1">IF(ISERROR(OFFSET('HARGA SATUAN'!$I$6,MATCH(RAB!C141,'HARGA SATUAN'!$C$7:$C$1495,0),0)),0,OFFSET('HARGA SATUAN'!$I$6,MATCH(RAB!C141,'HARGA SATUAN'!$C$7:$C$1495,0),0))</f>
        <v>21200</v>
      </c>
      <c r="H141" s="307">
        <f ca="1">IF(OR(D141="MDU",D141="MDU-KD"),(IF($O$3="RAB NON MDU","PLN KD",G141*F141)),0)</f>
        <v>0</v>
      </c>
      <c r="I141" s="307">
        <f ca="1">IF(D141="HDW",G141*F141,0)</f>
        <v>0</v>
      </c>
      <c r="J141" s="307">
        <f ca="1">IF(D141="JASA",G141*F141,0)</f>
        <v>127200</v>
      </c>
      <c r="K141" s="308">
        <f ca="1">SUM(H141:J141)</f>
        <v>127200</v>
      </c>
      <c r="L141" s="314"/>
      <c r="M141" s="288" t="str">
        <f t="shared" ca="1" si="56"/>
        <v/>
      </c>
      <c r="N141" s="314"/>
      <c r="O141" s="309"/>
      <c r="P141" s="309"/>
      <c r="Q141" s="290"/>
      <c r="R141" s="282"/>
      <c r="S141" s="310"/>
      <c r="T141" s="287"/>
      <c r="U141" s="287"/>
      <c r="V141" s="287"/>
    </row>
    <row r="142" spans="1:22" s="315" customFormat="1">
      <c r="A142" s="282"/>
      <c r="B142" s="486"/>
      <c r="C142" s="487"/>
      <c r="D142" s="304" t="str">
        <f ca="1">IF(ISERROR(OFFSET('HARGA SATUAN'!$D$6,MATCH(RAB!C142,'HARGA SATUAN'!$C$7:$C$1495,0),0)),"",OFFSET('HARGA SATUAN'!$D$6,MATCH(RAB!C142,'HARGA SATUAN'!$C$7:$C$1495,0),0))</f>
        <v/>
      </c>
      <c r="E142" s="305" t="str">
        <f ca="1">IF(B142="+","Unit",IF(ISERROR(OFFSET('HARGA SATUAN'!$E$6,MATCH(RAB!C142,'HARGA SATUAN'!$C$7:$C$1495,0),0)),"",OFFSET('HARGA SATUAN'!$E$6,MATCH(RAB!C142,'HARGA SATUAN'!$C$7:$C$1495,0),0)))</f>
        <v/>
      </c>
      <c r="F142" s="497"/>
      <c r="G142" s="306">
        <f ca="1">IF(ISERROR(OFFSET('HARGA SATUAN'!$I$6,MATCH(RAB!C142,'HARGA SATUAN'!$C$7:$C$1495,0),0)),0,OFFSET('HARGA SATUAN'!$I$6,MATCH(RAB!C142,'HARGA SATUAN'!$C$7:$C$1495,0),0))</f>
        <v>0</v>
      </c>
      <c r="H142" s="307">
        <f t="shared" ref="H142:H163" ca="1" si="57">IF(OR(D142="MDU",D142="MDU-KD"),(IF($O$3="RAB NON MDU","PLN KD",G142*F142)),0)</f>
        <v>0</v>
      </c>
      <c r="I142" s="307">
        <f t="shared" ref="I142:I163" ca="1" si="58">IF(D142="HDW",G142*F142,0)</f>
        <v>0</v>
      </c>
      <c r="J142" s="307">
        <f t="shared" ref="J142:J163" ca="1" si="59">IF(D142="JASA",G142*F142,0)</f>
        <v>0</v>
      </c>
      <c r="K142" s="308">
        <f t="shared" ref="K142:K163" ca="1" si="60">SUM(H142:J142)</f>
        <v>0</v>
      </c>
      <c r="L142" s="314"/>
      <c r="M142" s="288" t="str">
        <f t="shared" ca="1" si="56"/>
        <v/>
      </c>
      <c r="N142" s="314"/>
      <c r="O142" s="309"/>
      <c r="P142" s="309"/>
      <c r="Q142" s="290"/>
      <c r="R142" s="282"/>
      <c r="S142" s="310"/>
      <c r="T142" s="287"/>
      <c r="U142" s="287"/>
      <c r="V142" s="287"/>
    </row>
    <row r="143" spans="1:22" s="315" customFormat="1" hidden="1">
      <c r="A143" s="282"/>
      <c r="B143" s="486"/>
      <c r="C143" s="487"/>
      <c r="D143" s="304" t="str">
        <f ca="1">IF(ISERROR(OFFSET('HARGA SATUAN'!$D$6,MATCH(RAB!C143,'HARGA SATUAN'!$C$7:$C$1495,0),0)),"",OFFSET('HARGA SATUAN'!$D$6,MATCH(RAB!C143,'HARGA SATUAN'!$C$7:$C$1495,0),0))</f>
        <v/>
      </c>
      <c r="E143" s="305" t="str">
        <f ca="1">IF(B143="+","Unit",IF(ISERROR(OFFSET('HARGA SATUAN'!$E$6,MATCH(RAB!C143,'HARGA SATUAN'!$C$7:$C$1495,0),0)),"",OFFSET('HARGA SATUAN'!$E$6,MATCH(RAB!C143,'HARGA SATUAN'!$C$7:$C$1495,0),0)))</f>
        <v/>
      </c>
      <c r="F143" s="497"/>
      <c r="G143" s="306">
        <f ca="1">IF(ISERROR(OFFSET('HARGA SATUAN'!$I$6,MATCH(RAB!C143,'HARGA SATUAN'!$C$7:$C$1495,0),0)),0,OFFSET('HARGA SATUAN'!$I$6,MATCH(RAB!C143,'HARGA SATUAN'!$C$7:$C$1495,0),0))</f>
        <v>0</v>
      </c>
      <c r="H143" s="307">
        <f t="shared" ca="1" si="57"/>
        <v>0</v>
      </c>
      <c r="I143" s="307">
        <f t="shared" ca="1" si="58"/>
        <v>0</v>
      </c>
      <c r="J143" s="307">
        <f t="shared" ca="1" si="59"/>
        <v>0</v>
      </c>
      <c r="K143" s="308">
        <f t="shared" ca="1" si="60"/>
        <v>0</v>
      </c>
      <c r="L143" s="314"/>
      <c r="M143" s="288" t="str">
        <f t="shared" ca="1" si="56"/>
        <v/>
      </c>
      <c r="N143" s="314"/>
      <c r="O143" s="309"/>
      <c r="P143" s="309"/>
      <c r="Q143" s="290"/>
      <c r="R143" s="282"/>
      <c r="S143" s="310"/>
      <c r="T143" s="287"/>
      <c r="U143" s="287"/>
      <c r="V143" s="287"/>
    </row>
    <row r="144" spans="1:22" s="315" customFormat="1" hidden="1">
      <c r="A144" s="282"/>
      <c r="B144" s="486"/>
      <c r="C144" s="487"/>
      <c r="D144" s="304" t="str">
        <f ca="1">IF(ISERROR(OFFSET('HARGA SATUAN'!$D$6,MATCH(RAB!C144,'HARGA SATUAN'!$C$7:$C$1495,0),0)),"",OFFSET('HARGA SATUAN'!$D$6,MATCH(RAB!C144,'HARGA SATUAN'!$C$7:$C$1495,0),0))</f>
        <v/>
      </c>
      <c r="E144" s="305" t="str">
        <f ca="1">IF(B144="+","Unit",IF(ISERROR(OFFSET('HARGA SATUAN'!$E$6,MATCH(RAB!C144,'HARGA SATUAN'!$C$7:$C$1495,0),0)),"",OFFSET('HARGA SATUAN'!$E$6,MATCH(RAB!C144,'HARGA SATUAN'!$C$7:$C$1495,0),0)))</f>
        <v/>
      </c>
      <c r="F144" s="497"/>
      <c r="G144" s="306">
        <f ca="1">IF(ISERROR(OFFSET('HARGA SATUAN'!$I$6,MATCH(RAB!C144,'HARGA SATUAN'!$C$7:$C$1495,0),0)),0,OFFSET('HARGA SATUAN'!$I$6,MATCH(RAB!C144,'HARGA SATUAN'!$C$7:$C$1495,0),0))</f>
        <v>0</v>
      </c>
      <c r="H144" s="307">
        <f t="shared" ca="1" si="57"/>
        <v>0</v>
      </c>
      <c r="I144" s="307">
        <f t="shared" ca="1" si="58"/>
        <v>0</v>
      </c>
      <c r="J144" s="307">
        <f t="shared" ca="1" si="59"/>
        <v>0</v>
      </c>
      <c r="K144" s="308">
        <f t="shared" ca="1" si="60"/>
        <v>0</v>
      </c>
      <c r="L144" s="314"/>
      <c r="M144" s="288" t="str">
        <f t="shared" ca="1" si="56"/>
        <v/>
      </c>
      <c r="N144" s="314"/>
      <c r="O144" s="309"/>
      <c r="P144" s="309"/>
      <c r="Q144" s="290"/>
      <c r="R144" s="282"/>
      <c r="S144" s="310"/>
      <c r="T144" s="287"/>
      <c r="U144" s="287"/>
      <c r="V144" s="287"/>
    </row>
    <row r="145" spans="1:22" s="315" customFormat="1" hidden="1">
      <c r="A145" s="282"/>
      <c r="B145" s="486"/>
      <c r="C145" s="487"/>
      <c r="D145" s="304" t="str">
        <f ca="1">IF(ISERROR(OFFSET('HARGA SATUAN'!$D$6,MATCH(RAB!C145,'HARGA SATUAN'!$C$7:$C$1495,0),0)),"",OFFSET('HARGA SATUAN'!$D$6,MATCH(RAB!C145,'HARGA SATUAN'!$C$7:$C$1495,0),0))</f>
        <v/>
      </c>
      <c r="E145" s="305" t="str">
        <f ca="1">IF(B145="+","Unit",IF(ISERROR(OFFSET('HARGA SATUAN'!$E$6,MATCH(RAB!C145,'HARGA SATUAN'!$C$7:$C$1495,0),0)),"",OFFSET('HARGA SATUAN'!$E$6,MATCH(RAB!C145,'HARGA SATUAN'!$C$7:$C$1495,0),0)))</f>
        <v/>
      </c>
      <c r="F145" s="497"/>
      <c r="G145" s="306">
        <f ca="1">IF(ISERROR(OFFSET('HARGA SATUAN'!$I$6,MATCH(RAB!C145,'HARGA SATUAN'!$C$7:$C$1495,0),0)),0,OFFSET('HARGA SATUAN'!$I$6,MATCH(RAB!C145,'HARGA SATUAN'!$C$7:$C$1495,0),0))</f>
        <v>0</v>
      </c>
      <c r="H145" s="307">
        <f t="shared" ca="1" si="57"/>
        <v>0</v>
      </c>
      <c r="I145" s="307">
        <f t="shared" ca="1" si="58"/>
        <v>0</v>
      </c>
      <c r="J145" s="307">
        <f t="shared" ca="1" si="59"/>
        <v>0</v>
      </c>
      <c r="K145" s="308">
        <f t="shared" ca="1" si="60"/>
        <v>0</v>
      </c>
      <c r="L145" s="314"/>
      <c r="M145" s="288" t="str">
        <f t="shared" ca="1" si="56"/>
        <v/>
      </c>
      <c r="N145" s="314"/>
      <c r="O145" s="309"/>
      <c r="P145" s="309"/>
      <c r="Q145" s="290"/>
      <c r="R145" s="282"/>
      <c r="S145" s="310"/>
      <c r="T145" s="287"/>
      <c r="U145" s="287"/>
      <c r="V145" s="287"/>
    </row>
    <row r="146" spans="1:22" s="315" customFormat="1" hidden="1">
      <c r="A146" s="282"/>
      <c r="B146" s="486"/>
      <c r="C146" s="487"/>
      <c r="D146" s="304" t="str">
        <f ca="1">IF(ISERROR(OFFSET('HARGA SATUAN'!$D$6,MATCH(RAB!C146,'HARGA SATUAN'!$C$7:$C$1495,0),0)),"",OFFSET('HARGA SATUAN'!$D$6,MATCH(RAB!C146,'HARGA SATUAN'!$C$7:$C$1495,0),0))</f>
        <v/>
      </c>
      <c r="E146" s="305" t="str">
        <f ca="1">IF(B146="+","Unit",IF(ISERROR(OFFSET('HARGA SATUAN'!$E$6,MATCH(RAB!C146,'HARGA SATUAN'!$C$7:$C$1495,0),0)),"",OFFSET('HARGA SATUAN'!$E$6,MATCH(RAB!C146,'HARGA SATUAN'!$C$7:$C$1495,0),0)))</f>
        <v/>
      </c>
      <c r="F146" s="497"/>
      <c r="G146" s="306">
        <f ca="1">IF(ISERROR(OFFSET('HARGA SATUAN'!$I$6,MATCH(RAB!C146,'HARGA SATUAN'!$C$7:$C$1495,0),0)),0,OFFSET('HARGA SATUAN'!$I$6,MATCH(RAB!C146,'HARGA SATUAN'!$C$7:$C$1495,0),0))</f>
        <v>0</v>
      </c>
      <c r="H146" s="307">
        <f t="shared" ca="1" si="57"/>
        <v>0</v>
      </c>
      <c r="I146" s="307">
        <f t="shared" ca="1" si="58"/>
        <v>0</v>
      </c>
      <c r="J146" s="307">
        <f t="shared" ca="1" si="59"/>
        <v>0</v>
      </c>
      <c r="K146" s="308">
        <f t="shared" ca="1" si="60"/>
        <v>0</v>
      </c>
      <c r="L146" s="314"/>
      <c r="M146" s="288" t="str">
        <f t="shared" ca="1" si="56"/>
        <v/>
      </c>
      <c r="N146" s="314"/>
      <c r="O146" s="309"/>
      <c r="P146" s="309"/>
      <c r="Q146" s="290"/>
      <c r="R146" s="282"/>
      <c r="S146" s="310"/>
      <c r="T146" s="287"/>
      <c r="U146" s="287"/>
      <c r="V146" s="287"/>
    </row>
    <row r="147" spans="1:22" s="315" customFormat="1" hidden="1">
      <c r="A147" s="282"/>
      <c r="B147" s="486"/>
      <c r="C147" s="487"/>
      <c r="D147" s="304" t="str">
        <f ca="1">IF(ISERROR(OFFSET('HARGA SATUAN'!$D$6,MATCH(RAB!C147,'HARGA SATUAN'!$C$7:$C$1495,0),0)),"",OFFSET('HARGA SATUAN'!$D$6,MATCH(RAB!C147,'HARGA SATUAN'!$C$7:$C$1495,0),0))</f>
        <v/>
      </c>
      <c r="E147" s="305" t="str">
        <f ca="1">IF(B147="+","Unit",IF(ISERROR(OFFSET('HARGA SATUAN'!$E$6,MATCH(RAB!C147,'HARGA SATUAN'!$C$7:$C$1495,0),0)),"",OFFSET('HARGA SATUAN'!$E$6,MATCH(RAB!C147,'HARGA SATUAN'!$C$7:$C$1495,0),0)))</f>
        <v/>
      </c>
      <c r="F147" s="497"/>
      <c r="G147" s="306">
        <f ca="1">IF(ISERROR(OFFSET('HARGA SATUAN'!$I$6,MATCH(RAB!C147,'HARGA SATUAN'!$C$7:$C$1495,0),0)),0,OFFSET('HARGA SATUAN'!$I$6,MATCH(RAB!C147,'HARGA SATUAN'!$C$7:$C$1495,0),0))</f>
        <v>0</v>
      </c>
      <c r="H147" s="307">
        <f t="shared" ca="1" si="57"/>
        <v>0</v>
      </c>
      <c r="I147" s="307">
        <f t="shared" ca="1" si="58"/>
        <v>0</v>
      </c>
      <c r="J147" s="307">
        <f t="shared" ca="1" si="59"/>
        <v>0</v>
      </c>
      <c r="K147" s="308">
        <f t="shared" ca="1" si="60"/>
        <v>0</v>
      </c>
      <c r="L147" s="314"/>
      <c r="M147" s="288" t="str">
        <f t="shared" ca="1" si="56"/>
        <v/>
      </c>
      <c r="N147" s="314"/>
      <c r="O147" s="309"/>
      <c r="P147" s="309"/>
      <c r="Q147" s="290"/>
      <c r="R147" s="282"/>
      <c r="S147" s="310"/>
      <c r="T147" s="287"/>
      <c r="U147" s="287"/>
      <c r="V147" s="287"/>
    </row>
    <row r="148" spans="1:22" s="315" customFormat="1" hidden="1">
      <c r="A148" s="282"/>
      <c r="B148" s="486"/>
      <c r="C148" s="487"/>
      <c r="D148" s="304" t="str">
        <f ca="1">IF(ISERROR(OFFSET('HARGA SATUAN'!$D$6,MATCH(RAB!C148,'HARGA SATUAN'!$C$7:$C$1495,0),0)),"",OFFSET('HARGA SATUAN'!$D$6,MATCH(RAB!C148,'HARGA SATUAN'!$C$7:$C$1495,0),0))</f>
        <v/>
      </c>
      <c r="E148" s="305" t="str">
        <f ca="1">IF(B148="+","Unit",IF(ISERROR(OFFSET('HARGA SATUAN'!$E$6,MATCH(RAB!C148,'HARGA SATUAN'!$C$7:$C$1495,0),0)),"",OFFSET('HARGA SATUAN'!$E$6,MATCH(RAB!C148,'HARGA SATUAN'!$C$7:$C$1495,0),0)))</f>
        <v/>
      </c>
      <c r="F148" s="497"/>
      <c r="G148" s="306">
        <f ca="1">IF(ISERROR(OFFSET('HARGA SATUAN'!$I$6,MATCH(RAB!C148,'HARGA SATUAN'!$C$7:$C$1495,0),0)),0,OFFSET('HARGA SATUAN'!$I$6,MATCH(RAB!C148,'HARGA SATUAN'!$C$7:$C$1495,0),0))</f>
        <v>0</v>
      </c>
      <c r="H148" s="307">
        <f t="shared" ca="1" si="57"/>
        <v>0</v>
      </c>
      <c r="I148" s="307">
        <f t="shared" ca="1" si="58"/>
        <v>0</v>
      </c>
      <c r="J148" s="307">
        <f t="shared" ca="1" si="59"/>
        <v>0</v>
      </c>
      <c r="K148" s="308">
        <f t="shared" ca="1" si="60"/>
        <v>0</v>
      </c>
      <c r="L148" s="314"/>
      <c r="M148" s="288" t="str">
        <f t="shared" ca="1" si="56"/>
        <v/>
      </c>
      <c r="N148" s="314"/>
      <c r="O148" s="309"/>
      <c r="P148" s="309"/>
      <c r="Q148" s="290"/>
      <c r="R148" s="282"/>
      <c r="S148" s="310"/>
      <c r="T148" s="287"/>
      <c r="U148" s="287"/>
      <c r="V148" s="287"/>
    </row>
    <row r="149" spans="1:22" s="315" customFormat="1" hidden="1">
      <c r="A149" s="282"/>
      <c r="B149" s="486"/>
      <c r="C149" s="487"/>
      <c r="D149" s="304" t="str">
        <f ca="1">IF(ISERROR(OFFSET('HARGA SATUAN'!$D$6,MATCH(RAB!C149,'HARGA SATUAN'!$C$7:$C$1495,0),0)),"",OFFSET('HARGA SATUAN'!$D$6,MATCH(RAB!C149,'HARGA SATUAN'!$C$7:$C$1495,0),0))</f>
        <v/>
      </c>
      <c r="E149" s="305" t="str">
        <f ca="1">IF(B149="+","Unit",IF(ISERROR(OFFSET('HARGA SATUAN'!$E$6,MATCH(RAB!C149,'HARGA SATUAN'!$C$7:$C$1495,0),0)),"",OFFSET('HARGA SATUAN'!$E$6,MATCH(RAB!C149,'HARGA SATUAN'!$C$7:$C$1495,0),0)))</f>
        <v/>
      </c>
      <c r="F149" s="497"/>
      <c r="G149" s="306">
        <f ca="1">IF(ISERROR(OFFSET('HARGA SATUAN'!$I$6,MATCH(RAB!C149,'HARGA SATUAN'!$C$7:$C$1495,0),0)),0,OFFSET('HARGA SATUAN'!$I$6,MATCH(RAB!C149,'HARGA SATUAN'!$C$7:$C$1495,0),0))</f>
        <v>0</v>
      </c>
      <c r="H149" s="307">
        <f t="shared" ca="1" si="57"/>
        <v>0</v>
      </c>
      <c r="I149" s="307">
        <f t="shared" ca="1" si="58"/>
        <v>0</v>
      </c>
      <c r="J149" s="307">
        <f t="shared" ca="1" si="59"/>
        <v>0</v>
      </c>
      <c r="K149" s="308">
        <f t="shared" ca="1" si="60"/>
        <v>0</v>
      </c>
      <c r="L149" s="314"/>
      <c r="M149" s="288" t="str">
        <f t="shared" ca="1" si="56"/>
        <v/>
      </c>
      <c r="N149" s="314"/>
      <c r="O149" s="309"/>
      <c r="P149" s="309"/>
      <c r="Q149" s="290"/>
      <c r="R149" s="282"/>
      <c r="S149" s="310"/>
      <c r="T149" s="287"/>
      <c r="U149" s="287"/>
      <c r="V149" s="287"/>
    </row>
    <row r="150" spans="1:22" s="315" customFormat="1" hidden="1">
      <c r="A150" s="282"/>
      <c r="B150" s="486"/>
      <c r="C150" s="487"/>
      <c r="D150" s="304" t="str">
        <f ca="1">IF(ISERROR(OFFSET('HARGA SATUAN'!$D$6,MATCH(RAB!C150,'HARGA SATUAN'!$C$7:$C$1495,0),0)),"",OFFSET('HARGA SATUAN'!$D$6,MATCH(RAB!C150,'HARGA SATUAN'!$C$7:$C$1495,0),0))</f>
        <v/>
      </c>
      <c r="E150" s="305" t="str">
        <f ca="1">IF(B150="+","Unit",IF(ISERROR(OFFSET('HARGA SATUAN'!$E$6,MATCH(RAB!C150,'HARGA SATUAN'!$C$7:$C$1495,0),0)),"",OFFSET('HARGA SATUAN'!$E$6,MATCH(RAB!C150,'HARGA SATUAN'!$C$7:$C$1495,0),0)))</f>
        <v/>
      </c>
      <c r="F150" s="497"/>
      <c r="G150" s="306">
        <f ca="1">IF(ISERROR(OFFSET('HARGA SATUAN'!$I$6,MATCH(RAB!C150,'HARGA SATUAN'!$C$7:$C$1495,0),0)),0,OFFSET('HARGA SATUAN'!$I$6,MATCH(RAB!C150,'HARGA SATUAN'!$C$7:$C$1495,0),0))</f>
        <v>0</v>
      </c>
      <c r="H150" s="307">
        <f t="shared" ca="1" si="57"/>
        <v>0</v>
      </c>
      <c r="I150" s="307">
        <f t="shared" ca="1" si="58"/>
        <v>0</v>
      </c>
      <c r="J150" s="307">
        <f t="shared" ca="1" si="59"/>
        <v>0</v>
      </c>
      <c r="K150" s="308">
        <f t="shared" ca="1" si="60"/>
        <v>0</v>
      </c>
      <c r="L150" s="314"/>
      <c r="M150" s="288" t="str">
        <f t="shared" ca="1" si="56"/>
        <v/>
      </c>
      <c r="N150" s="314"/>
      <c r="O150" s="309"/>
      <c r="P150" s="309"/>
      <c r="Q150" s="290"/>
      <c r="R150" s="282"/>
      <c r="S150" s="310"/>
      <c r="T150" s="287"/>
      <c r="U150" s="287"/>
      <c r="V150" s="287"/>
    </row>
    <row r="151" spans="1:22" s="315" customFormat="1" hidden="1">
      <c r="A151" s="282"/>
      <c r="B151" s="486"/>
      <c r="C151" s="487"/>
      <c r="D151" s="304" t="str">
        <f ca="1">IF(ISERROR(OFFSET('HARGA SATUAN'!$D$6,MATCH(RAB!C151,'HARGA SATUAN'!$C$7:$C$1495,0),0)),"",OFFSET('HARGA SATUAN'!$D$6,MATCH(RAB!C151,'HARGA SATUAN'!$C$7:$C$1495,0),0))</f>
        <v/>
      </c>
      <c r="E151" s="305" t="str">
        <f ca="1">IF(B151="+","Unit",IF(ISERROR(OFFSET('HARGA SATUAN'!$E$6,MATCH(RAB!C151,'HARGA SATUAN'!$C$7:$C$1495,0),0)),"",OFFSET('HARGA SATUAN'!$E$6,MATCH(RAB!C151,'HARGA SATUAN'!$C$7:$C$1495,0),0)))</f>
        <v/>
      </c>
      <c r="F151" s="497"/>
      <c r="G151" s="306">
        <f ca="1">IF(ISERROR(OFFSET('HARGA SATUAN'!$I$6,MATCH(RAB!C151,'HARGA SATUAN'!$C$7:$C$1495,0),0)),0,OFFSET('HARGA SATUAN'!$I$6,MATCH(RAB!C151,'HARGA SATUAN'!$C$7:$C$1495,0),0))</f>
        <v>0</v>
      </c>
      <c r="H151" s="307">
        <f t="shared" ca="1" si="57"/>
        <v>0</v>
      </c>
      <c r="I151" s="307">
        <f t="shared" ca="1" si="58"/>
        <v>0</v>
      </c>
      <c r="J151" s="307">
        <f t="shared" ca="1" si="59"/>
        <v>0</v>
      </c>
      <c r="K151" s="308">
        <f t="shared" ca="1" si="60"/>
        <v>0</v>
      </c>
      <c r="L151" s="314"/>
      <c r="M151" s="288" t="str">
        <f t="shared" ca="1" si="56"/>
        <v/>
      </c>
      <c r="N151" s="314"/>
      <c r="O151" s="309"/>
      <c r="P151" s="309"/>
      <c r="Q151" s="290"/>
      <c r="R151" s="282"/>
      <c r="S151" s="310"/>
      <c r="T151" s="287"/>
      <c r="U151" s="287"/>
      <c r="V151" s="287"/>
    </row>
    <row r="152" spans="1:22" s="315" customFormat="1" hidden="1">
      <c r="A152" s="282"/>
      <c r="B152" s="486"/>
      <c r="C152" s="487"/>
      <c r="D152" s="304" t="str">
        <f ca="1">IF(ISERROR(OFFSET('HARGA SATUAN'!$D$6,MATCH(RAB!C152,'HARGA SATUAN'!$C$7:$C$1495,0),0)),"",OFFSET('HARGA SATUAN'!$D$6,MATCH(RAB!C152,'HARGA SATUAN'!$C$7:$C$1495,0),0))</f>
        <v/>
      </c>
      <c r="E152" s="305" t="str">
        <f ca="1">IF(B152="+","Unit",IF(ISERROR(OFFSET('HARGA SATUAN'!$E$6,MATCH(RAB!C152,'HARGA SATUAN'!$C$7:$C$1495,0),0)),"",OFFSET('HARGA SATUAN'!$E$6,MATCH(RAB!C152,'HARGA SATUAN'!$C$7:$C$1495,0),0)))</f>
        <v/>
      </c>
      <c r="F152" s="497"/>
      <c r="G152" s="306">
        <f ca="1">IF(ISERROR(OFFSET('HARGA SATUAN'!$I$6,MATCH(RAB!C152,'HARGA SATUAN'!$C$7:$C$1495,0),0)),0,OFFSET('HARGA SATUAN'!$I$6,MATCH(RAB!C152,'HARGA SATUAN'!$C$7:$C$1495,0),0))</f>
        <v>0</v>
      </c>
      <c r="H152" s="307">
        <f t="shared" ca="1" si="57"/>
        <v>0</v>
      </c>
      <c r="I152" s="307">
        <f t="shared" ca="1" si="58"/>
        <v>0</v>
      </c>
      <c r="J152" s="307">
        <f t="shared" ca="1" si="59"/>
        <v>0</v>
      </c>
      <c r="K152" s="308">
        <f t="shared" ca="1" si="60"/>
        <v>0</v>
      </c>
      <c r="L152" s="314"/>
      <c r="M152" s="288" t="str">
        <f t="shared" ca="1" si="56"/>
        <v/>
      </c>
      <c r="N152" s="314"/>
      <c r="O152" s="309"/>
      <c r="P152" s="309"/>
      <c r="Q152" s="290"/>
      <c r="R152" s="282"/>
      <c r="S152" s="310"/>
      <c r="T152" s="287"/>
      <c r="U152" s="287"/>
      <c r="V152" s="287"/>
    </row>
    <row r="153" spans="1:22" s="315" customFormat="1" hidden="1">
      <c r="A153" s="282"/>
      <c r="B153" s="486"/>
      <c r="C153" s="487"/>
      <c r="D153" s="304" t="str">
        <f ca="1">IF(ISERROR(OFFSET('HARGA SATUAN'!$D$6,MATCH(RAB!C153,'HARGA SATUAN'!$C$7:$C$1495,0),0)),"",OFFSET('HARGA SATUAN'!$D$6,MATCH(RAB!C153,'HARGA SATUAN'!$C$7:$C$1495,0),0))</f>
        <v/>
      </c>
      <c r="E153" s="305" t="str">
        <f ca="1">IF(B153="+","Unit",IF(ISERROR(OFFSET('HARGA SATUAN'!$E$6,MATCH(RAB!C153,'HARGA SATUAN'!$C$7:$C$1495,0),0)),"",OFFSET('HARGA SATUAN'!$E$6,MATCH(RAB!C153,'HARGA SATUAN'!$C$7:$C$1495,0),0)))</f>
        <v/>
      </c>
      <c r="F153" s="497"/>
      <c r="G153" s="306">
        <f ca="1">IF(ISERROR(OFFSET('HARGA SATUAN'!$I$6,MATCH(RAB!C153,'HARGA SATUAN'!$C$7:$C$1495,0),0)),0,OFFSET('HARGA SATUAN'!$I$6,MATCH(RAB!C153,'HARGA SATUAN'!$C$7:$C$1495,0),0))</f>
        <v>0</v>
      </c>
      <c r="H153" s="307">
        <f t="shared" ca="1" si="57"/>
        <v>0</v>
      </c>
      <c r="I153" s="307">
        <f t="shared" ca="1" si="58"/>
        <v>0</v>
      </c>
      <c r="J153" s="307">
        <f t="shared" ca="1" si="59"/>
        <v>0</v>
      </c>
      <c r="K153" s="308">
        <f t="shared" ca="1" si="60"/>
        <v>0</v>
      </c>
      <c r="L153" s="314"/>
      <c r="M153" s="288" t="str">
        <f t="shared" ca="1" si="56"/>
        <v/>
      </c>
      <c r="N153" s="314"/>
      <c r="O153" s="309"/>
      <c r="P153" s="309"/>
      <c r="Q153" s="290"/>
      <c r="R153" s="282"/>
      <c r="S153" s="310"/>
      <c r="T153" s="287"/>
      <c r="U153" s="287"/>
      <c r="V153" s="287"/>
    </row>
    <row r="154" spans="1:22" s="315" customFormat="1" hidden="1">
      <c r="A154" s="282"/>
      <c r="B154" s="486"/>
      <c r="C154" s="487"/>
      <c r="D154" s="304" t="str">
        <f ca="1">IF(ISERROR(OFFSET('HARGA SATUAN'!$D$6,MATCH(RAB!C154,'HARGA SATUAN'!$C$7:$C$1495,0),0)),"",OFFSET('HARGA SATUAN'!$D$6,MATCH(RAB!C154,'HARGA SATUAN'!$C$7:$C$1495,0),0))</f>
        <v/>
      </c>
      <c r="E154" s="305" t="str">
        <f ca="1">IF(B154="+","Unit",IF(ISERROR(OFFSET('HARGA SATUAN'!$E$6,MATCH(RAB!C154,'HARGA SATUAN'!$C$7:$C$1495,0),0)),"",OFFSET('HARGA SATUAN'!$E$6,MATCH(RAB!C154,'HARGA SATUAN'!$C$7:$C$1495,0),0)))</f>
        <v/>
      </c>
      <c r="F154" s="497"/>
      <c r="G154" s="306">
        <f ca="1">IF(ISERROR(OFFSET('HARGA SATUAN'!$I$6,MATCH(RAB!C154,'HARGA SATUAN'!$C$7:$C$1495,0),0)),0,OFFSET('HARGA SATUAN'!$I$6,MATCH(RAB!C154,'HARGA SATUAN'!$C$7:$C$1495,0),0))</f>
        <v>0</v>
      </c>
      <c r="H154" s="307">
        <f t="shared" ca="1" si="57"/>
        <v>0</v>
      </c>
      <c r="I154" s="307">
        <f t="shared" ca="1" si="58"/>
        <v>0</v>
      </c>
      <c r="J154" s="307">
        <f t="shared" ca="1" si="59"/>
        <v>0</v>
      </c>
      <c r="K154" s="308">
        <f t="shared" ca="1" si="60"/>
        <v>0</v>
      </c>
      <c r="L154" s="314"/>
      <c r="M154" s="288" t="str">
        <f t="shared" ca="1" si="56"/>
        <v/>
      </c>
      <c r="N154" s="314"/>
      <c r="O154" s="309"/>
      <c r="P154" s="309"/>
      <c r="Q154" s="290"/>
      <c r="R154" s="282"/>
      <c r="S154" s="310"/>
      <c r="T154" s="287"/>
      <c r="U154" s="287"/>
      <c r="V154" s="287"/>
    </row>
    <row r="155" spans="1:22" s="315" customFormat="1" hidden="1">
      <c r="A155" s="282"/>
      <c r="B155" s="486"/>
      <c r="C155" s="487"/>
      <c r="D155" s="304" t="str">
        <f ca="1">IF(ISERROR(OFFSET('HARGA SATUAN'!$D$6,MATCH(RAB!C155,'HARGA SATUAN'!$C$7:$C$1495,0),0)),"",OFFSET('HARGA SATUAN'!$D$6,MATCH(RAB!C155,'HARGA SATUAN'!$C$7:$C$1495,0),0))</f>
        <v/>
      </c>
      <c r="E155" s="305" t="str">
        <f ca="1">IF(B155="+","Unit",IF(ISERROR(OFFSET('HARGA SATUAN'!$E$6,MATCH(RAB!C155,'HARGA SATUAN'!$C$7:$C$1495,0),0)),"",OFFSET('HARGA SATUAN'!$E$6,MATCH(RAB!C155,'HARGA SATUAN'!$C$7:$C$1495,0),0)))</f>
        <v/>
      </c>
      <c r="F155" s="497"/>
      <c r="G155" s="306">
        <f ca="1">IF(ISERROR(OFFSET('HARGA SATUAN'!$I$6,MATCH(RAB!C155,'HARGA SATUAN'!$C$7:$C$1495,0),0)),0,OFFSET('HARGA SATUAN'!$I$6,MATCH(RAB!C155,'HARGA SATUAN'!$C$7:$C$1495,0),0))</f>
        <v>0</v>
      </c>
      <c r="H155" s="307">
        <f t="shared" ca="1" si="57"/>
        <v>0</v>
      </c>
      <c r="I155" s="307">
        <f t="shared" ca="1" si="58"/>
        <v>0</v>
      </c>
      <c r="J155" s="307">
        <f t="shared" ca="1" si="59"/>
        <v>0</v>
      </c>
      <c r="K155" s="308">
        <f t="shared" ca="1" si="60"/>
        <v>0</v>
      </c>
      <c r="L155" s="314"/>
      <c r="M155" s="288" t="str">
        <f t="shared" ca="1" si="56"/>
        <v/>
      </c>
      <c r="N155" s="314"/>
      <c r="O155" s="309"/>
      <c r="P155" s="309"/>
      <c r="Q155" s="290"/>
      <c r="R155" s="282"/>
      <c r="S155" s="310"/>
      <c r="T155" s="287"/>
      <c r="U155" s="287"/>
      <c r="V155" s="287"/>
    </row>
    <row r="156" spans="1:22" s="315" customFormat="1" hidden="1">
      <c r="A156" s="282"/>
      <c r="B156" s="486"/>
      <c r="C156" s="487"/>
      <c r="D156" s="304" t="str">
        <f ca="1">IF(ISERROR(OFFSET('HARGA SATUAN'!$D$6,MATCH(RAB!C156,'HARGA SATUAN'!$C$7:$C$1495,0),0)),"",OFFSET('HARGA SATUAN'!$D$6,MATCH(RAB!C156,'HARGA SATUAN'!$C$7:$C$1495,0),0))</f>
        <v/>
      </c>
      <c r="E156" s="305" t="str">
        <f ca="1">IF(B156="+","Unit",IF(ISERROR(OFFSET('HARGA SATUAN'!$E$6,MATCH(RAB!C156,'HARGA SATUAN'!$C$7:$C$1495,0),0)),"",OFFSET('HARGA SATUAN'!$E$6,MATCH(RAB!C156,'HARGA SATUAN'!$C$7:$C$1495,0),0)))</f>
        <v/>
      </c>
      <c r="F156" s="497"/>
      <c r="G156" s="306">
        <f ca="1">IF(ISERROR(OFFSET('HARGA SATUAN'!$I$6,MATCH(RAB!C156,'HARGA SATUAN'!$C$7:$C$1495,0),0)),0,OFFSET('HARGA SATUAN'!$I$6,MATCH(RAB!C156,'HARGA SATUAN'!$C$7:$C$1495,0),0))</f>
        <v>0</v>
      </c>
      <c r="H156" s="307">
        <f t="shared" ca="1" si="57"/>
        <v>0</v>
      </c>
      <c r="I156" s="307">
        <f t="shared" ca="1" si="58"/>
        <v>0</v>
      </c>
      <c r="J156" s="307">
        <f t="shared" ca="1" si="59"/>
        <v>0</v>
      </c>
      <c r="K156" s="308">
        <f t="shared" ca="1" si="60"/>
        <v>0</v>
      </c>
      <c r="L156" s="314"/>
      <c r="M156" s="288" t="str">
        <f t="shared" ca="1" si="56"/>
        <v/>
      </c>
      <c r="N156" s="314"/>
      <c r="O156" s="309"/>
      <c r="P156" s="309"/>
      <c r="Q156" s="290"/>
      <c r="R156" s="282"/>
      <c r="S156" s="310"/>
      <c r="T156" s="287"/>
      <c r="U156" s="287"/>
      <c r="V156" s="287"/>
    </row>
    <row r="157" spans="1:22" s="315" customFormat="1" hidden="1">
      <c r="A157" s="282"/>
      <c r="B157" s="486"/>
      <c r="C157" s="487"/>
      <c r="D157" s="304" t="str">
        <f ca="1">IF(ISERROR(OFFSET('HARGA SATUAN'!$D$6,MATCH(RAB!C157,'HARGA SATUAN'!$C$7:$C$1495,0),0)),"",OFFSET('HARGA SATUAN'!$D$6,MATCH(RAB!C157,'HARGA SATUAN'!$C$7:$C$1495,0),0))</f>
        <v/>
      </c>
      <c r="E157" s="305" t="str">
        <f ca="1">IF(B157="+","Unit",IF(ISERROR(OFFSET('HARGA SATUAN'!$E$6,MATCH(RAB!C157,'HARGA SATUAN'!$C$7:$C$1495,0),0)),"",OFFSET('HARGA SATUAN'!$E$6,MATCH(RAB!C157,'HARGA SATUAN'!$C$7:$C$1495,0),0)))</f>
        <v/>
      </c>
      <c r="F157" s="497"/>
      <c r="G157" s="306">
        <f ca="1">IF(ISERROR(OFFSET('HARGA SATUAN'!$I$6,MATCH(RAB!C157,'HARGA SATUAN'!$C$7:$C$1495,0),0)),0,OFFSET('HARGA SATUAN'!$I$6,MATCH(RAB!C157,'HARGA SATUAN'!$C$7:$C$1495,0),0))</f>
        <v>0</v>
      </c>
      <c r="H157" s="307">
        <f t="shared" ca="1" si="57"/>
        <v>0</v>
      </c>
      <c r="I157" s="307">
        <f t="shared" ca="1" si="58"/>
        <v>0</v>
      </c>
      <c r="J157" s="307">
        <f t="shared" ca="1" si="59"/>
        <v>0</v>
      </c>
      <c r="K157" s="308">
        <f t="shared" ca="1" si="60"/>
        <v>0</v>
      </c>
      <c r="L157" s="314"/>
      <c r="M157" s="288" t="str">
        <f t="shared" ca="1" si="56"/>
        <v/>
      </c>
      <c r="N157" s="314"/>
      <c r="O157" s="309"/>
      <c r="P157" s="309"/>
      <c r="Q157" s="290"/>
      <c r="R157" s="282"/>
      <c r="S157" s="310"/>
      <c r="T157" s="287"/>
      <c r="U157" s="287"/>
      <c r="V157" s="287"/>
    </row>
    <row r="158" spans="1:22" s="315" customFormat="1" hidden="1">
      <c r="A158" s="282"/>
      <c r="B158" s="486"/>
      <c r="C158" s="487"/>
      <c r="D158" s="304" t="str">
        <f ca="1">IF(ISERROR(OFFSET('HARGA SATUAN'!$D$6,MATCH(RAB!C158,'HARGA SATUAN'!$C$7:$C$1495,0),0)),"",OFFSET('HARGA SATUAN'!$D$6,MATCH(RAB!C158,'HARGA SATUAN'!$C$7:$C$1495,0),0))</f>
        <v/>
      </c>
      <c r="E158" s="305" t="str">
        <f ca="1">IF(B158="+","Unit",IF(ISERROR(OFFSET('HARGA SATUAN'!$E$6,MATCH(RAB!C158,'HARGA SATUAN'!$C$7:$C$1495,0),0)),"",OFFSET('HARGA SATUAN'!$E$6,MATCH(RAB!C158,'HARGA SATUAN'!$C$7:$C$1495,0),0)))</f>
        <v/>
      </c>
      <c r="F158" s="497"/>
      <c r="G158" s="306">
        <f ca="1">IF(ISERROR(OFFSET('HARGA SATUAN'!$I$6,MATCH(RAB!C158,'HARGA SATUAN'!$C$7:$C$1495,0),0)),0,OFFSET('HARGA SATUAN'!$I$6,MATCH(RAB!C158,'HARGA SATUAN'!$C$7:$C$1495,0),0))</f>
        <v>0</v>
      </c>
      <c r="H158" s="307">
        <f t="shared" ca="1" si="57"/>
        <v>0</v>
      </c>
      <c r="I158" s="307">
        <f t="shared" ca="1" si="58"/>
        <v>0</v>
      </c>
      <c r="J158" s="307">
        <f t="shared" ca="1" si="59"/>
        <v>0</v>
      </c>
      <c r="K158" s="308">
        <f t="shared" ca="1" si="60"/>
        <v>0</v>
      </c>
      <c r="L158" s="314"/>
      <c r="M158" s="288" t="str">
        <f t="shared" ca="1" si="56"/>
        <v/>
      </c>
      <c r="N158" s="314"/>
      <c r="O158" s="309"/>
      <c r="P158" s="309"/>
      <c r="Q158" s="290"/>
      <c r="R158" s="282"/>
      <c r="S158" s="310"/>
      <c r="T158" s="287"/>
      <c r="U158" s="287"/>
      <c r="V158" s="287"/>
    </row>
    <row r="159" spans="1:22" s="315" customFormat="1" hidden="1">
      <c r="A159" s="282"/>
      <c r="B159" s="486"/>
      <c r="C159" s="487"/>
      <c r="D159" s="304" t="str">
        <f ca="1">IF(ISERROR(OFFSET('HARGA SATUAN'!$D$6,MATCH(RAB!C159,'HARGA SATUAN'!$C$7:$C$1495,0),0)),"",OFFSET('HARGA SATUAN'!$D$6,MATCH(RAB!C159,'HARGA SATUAN'!$C$7:$C$1495,0),0))</f>
        <v/>
      </c>
      <c r="E159" s="305" t="str">
        <f ca="1">IF(B159="+","Unit",IF(ISERROR(OFFSET('HARGA SATUAN'!$E$6,MATCH(RAB!C159,'HARGA SATUAN'!$C$7:$C$1495,0),0)),"",OFFSET('HARGA SATUAN'!$E$6,MATCH(RAB!C159,'HARGA SATUAN'!$C$7:$C$1495,0),0)))</f>
        <v/>
      </c>
      <c r="F159" s="497"/>
      <c r="G159" s="306">
        <f ca="1">IF(ISERROR(OFFSET('HARGA SATUAN'!$I$6,MATCH(RAB!C159,'HARGA SATUAN'!$C$7:$C$1495,0),0)),0,OFFSET('HARGA SATUAN'!$I$6,MATCH(RAB!C159,'HARGA SATUAN'!$C$7:$C$1495,0),0))</f>
        <v>0</v>
      </c>
      <c r="H159" s="307">
        <f t="shared" ca="1" si="57"/>
        <v>0</v>
      </c>
      <c r="I159" s="307">
        <f t="shared" ca="1" si="58"/>
        <v>0</v>
      </c>
      <c r="J159" s="307">
        <f t="shared" ca="1" si="59"/>
        <v>0</v>
      </c>
      <c r="K159" s="308">
        <f t="shared" ca="1" si="60"/>
        <v>0</v>
      </c>
      <c r="L159" s="314"/>
      <c r="M159" s="288" t="str">
        <f t="shared" ca="1" si="56"/>
        <v/>
      </c>
      <c r="N159" s="314"/>
      <c r="O159" s="309"/>
      <c r="P159" s="309"/>
      <c r="Q159" s="290"/>
      <c r="R159" s="282"/>
      <c r="S159" s="310"/>
      <c r="T159" s="287"/>
      <c r="U159" s="287"/>
      <c r="V159" s="287"/>
    </row>
    <row r="160" spans="1:22" s="315" customFormat="1" hidden="1">
      <c r="A160" s="282"/>
      <c r="B160" s="486"/>
      <c r="C160" s="487"/>
      <c r="D160" s="304" t="str">
        <f ca="1">IF(ISERROR(OFFSET('HARGA SATUAN'!$D$6,MATCH(RAB!C160,'HARGA SATUAN'!$C$7:$C$1495,0),0)),"",OFFSET('HARGA SATUAN'!$D$6,MATCH(RAB!C160,'HARGA SATUAN'!$C$7:$C$1495,0),0))</f>
        <v/>
      </c>
      <c r="E160" s="305" t="str">
        <f ca="1">IF(B160="+","Unit",IF(ISERROR(OFFSET('HARGA SATUAN'!$E$6,MATCH(RAB!C160,'HARGA SATUAN'!$C$7:$C$1495,0),0)),"",OFFSET('HARGA SATUAN'!$E$6,MATCH(RAB!C160,'HARGA SATUAN'!$C$7:$C$1495,0),0)))</f>
        <v/>
      </c>
      <c r="F160" s="497"/>
      <c r="G160" s="306">
        <f ca="1">IF(ISERROR(OFFSET('HARGA SATUAN'!$I$6,MATCH(RAB!C160,'HARGA SATUAN'!$C$7:$C$1495,0),0)),0,OFFSET('HARGA SATUAN'!$I$6,MATCH(RAB!C160,'HARGA SATUAN'!$C$7:$C$1495,0),0))</f>
        <v>0</v>
      </c>
      <c r="H160" s="307">
        <f t="shared" ca="1" si="57"/>
        <v>0</v>
      </c>
      <c r="I160" s="307">
        <f t="shared" ca="1" si="58"/>
        <v>0</v>
      </c>
      <c r="J160" s="307">
        <f t="shared" ca="1" si="59"/>
        <v>0</v>
      </c>
      <c r="K160" s="308">
        <f t="shared" ca="1" si="60"/>
        <v>0</v>
      </c>
      <c r="L160" s="314"/>
      <c r="M160" s="288" t="str">
        <f t="shared" ca="1" si="56"/>
        <v/>
      </c>
      <c r="N160" s="314"/>
      <c r="O160" s="309"/>
      <c r="P160" s="309"/>
      <c r="Q160" s="290"/>
      <c r="R160" s="282"/>
      <c r="S160" s="310"/>
      <c r="T160" s="287"/>
      <c r="U160" s="287"/>
      <c r="V160" s="287"/>
    </row>
    <row r="161" spans="1:22" s="315" customFormat="1" hidden="1">
      <c r="A161" s="282"/>
      <c r="B161" s="486"/>
      <c r="C161" s="487"/>
      <c r="D161" s="304" t="str">
        <f ca="1">IF(ISERROR(OFFSET('HARGA SATUAN'!$D$6,MATCH(RAB!C161,'HARGA SATUAN'!$C$7:$C$1495,0),0)),"",OFFSET('HARGA SATUAN'!$D$6,MATCH(RAB!C161,'HARGA SATUAN'!$C$7:$C$1495,0),0))</f>
        <v/>
      </c>
      <c r="E161" s="305" t="str">
        <f ca="1">IF(B161="+","Unit",IF(ISERROR(OFFSET('HARGA SATUAN'!$E$6,MATCH(RAB!C161,'HARGA SATUAN'!$C$7:$C$1495,0),0)),"",OFFSET('HARGA SATUAN'!$E$6,MATCH(RAB!C161,'HARGA SATUAN'!$C$7:$C$1495,0),0)))</f>
        <v/>
      </c>
      <c r="F161" s="497"/>
      <c r="G161" s="306">
        <f ca="1">IF(ISERROR(OFFSET('HARGA SATUAN'!$I$6,MATCH(RAB!C161,'HARGA SATUAN'!$C$7:$C$1495,0),0)),0,OFFSET('HARGA SATUAN'!$I$6,MATCH(RAB!C161,'HARGA SATUAN'!$C$7:$C$1495,0),0))</f>
        <v>0</v>
      </c>
      <c r="H161" s="307">
        <f t="shared" ca="1" si="57"/>
        <v>0</v>
      </c>
      <c r="I161" s="307">
        <f t="shared" ca="1" si="58"/>
        <v>0</v>
      </c>
      <c r="J161" s="307">
        <f t="shared" ca="1" si="59"/>
        <v>0</v>
      </c>
      <c r="K161" s="308">
        <f t="shared" ca="1" si="60"/>
        <v>0</v>
      </c>
      <c r="L161" s="314"/>
      <c r="M161" s="288" t="str">
        <f t="shared" ca="1" si="56"/>
        <v/>
      </c>
      <c r="N161" s="314"/>
      <c r="O161" s="309"/>
      <c r="P161" s="309"/>
      <c r="Q161" s="290"/>
      <c r="R161" s="282"/>
      <c r="S161" s="310"/>
      <c r="T161" s="287"/>
      <c r="U161" s="287"/>
      <c r="V161" s="287"/>
    </row>
    <row r="162" spans="1:22" s="315" customFormat="1" hidden="1">
      <c r="A162" s="282"/>
      <c r="B162" s="486"/>
      <c r="C162" s="487"/>
      <c r="D162" s="304" t="str">
        <f ca="1">IF(ISERROR(OFFSET('HARGA SATUAN'!$D$6,MATCH(RAB!C162,'HARGA SATUAN'!$C$7:$C$1495,0),0)),"",OFFSET('HARGA SATUAN'!$D$6,MATCH(RAB!C162,'HARGA SATUAN'!$C$7:$C$1495,0),0))</f>
        <v/>
      </c>
      <c r="E162" s="305" t="str">
        <f ca="1">IF(B162="+","Unit",IF(ISERROR(OFFSET('HARGA SATUAN'!$E$6,MATCH(RAB!C162,'HARGA SATUAN'!$C$7:$C$1495,0),0)),"",OFFSET('HARGA SATUAN'!$E$6,MATCH(RAB!C162,'HARGA SATUAN'!$C$7:$C$1495,0),0)))</f>
        <v/>
      </c>
      <c r="F162" s="497"/>
      <c r="G162" s="306">
        <f ca="1">IF(ISERROR(OFFSET('HARGA SATUAN'!$I$6,MATCH(RAB!C162,'HARGA SATUAN'!$C$7:$C$1495,0),0)),0,OFFSET('HARGA SATUAN'!$I$6,MATCH(RAB!C162,'HARGA SATUAN'!$C$7:$C$1495,0),0))</f>
        <v>0</v>
      </c>
      <c r="H162" s="307">
        <f t="shared" ca="1" si="57"/>
        <v>0</v>
      </c>
      <c r="I162" s="307">
        <f t="shared" ca="1" si="58"/>
        <v>0</v>
      </c>
      <c r="J162" s="307">
        <f t="shared" ca="1" si="59"/>
        <v>0</v>
      </c>
      <c r="K162" s="308">
        <f t="shared" ca="1" si="60"/>
        <v>0</v>
      </c>
      <c r="L162" s="314"/>
      <c r="M162" s="288" t="str">
        <f t="shared" ca="1" si="56"/>
        <v/>
      </c>
      <c r="N162" s="314"/>
      <c r="O162" s="309"/>
      <c r="P162" s="309"/>
      <c r="Q162" s="290"/>
      <c r="R162" s="282"/>
      <c r="S162" s="310"/>
      <c r="T162" s="287"/>
      <c r="U162" s="287"/>
      <c r="V162" s="287"/>
    </row>
    <row r="163" spans="1:22" s="315" customFormat="1" hidden="1">
      <c r="A163" s="282"/>
      <c r="B163" s="486"/>
      <c r="C163" s="487"/>
      <c r="D163" s="304" t="str">
        <f ca="1">IF(ISERROR(OFFSET('HARGA SATUAN'!$D$6,MATCH(RAB!C163,'HARGA SATUAN'!$C$7:$C$1495,0),0)),"",OFFSET('HARGA SATUAN'!$D$6,MATCH(RAB!C163,'HARGA SATUAN'!$C$7:$C$1495,0),0))</f>
        <v/>
      </c>
      <c r="E163" s="305" t="str">
        <f ca="1">IF(B163="+","Unit",IF(ISERROR(OFFSET('HARGA SATUAN'!$E$6,MATCH(RAB!C163,'HARGA SATUAN'!$C$7:$C$1495,0),0)),"",OFFSET('HARGA SATUAN'!$E$6,MATCH(RAB!C163,'HARGA SATUAN'!$C$7:$C$1495,0),0)))</f>
        <v/>
      </c>
      <c r="F163" s="497"/>
      <c r="G163" s="306">
        <f ca="1">IF(ISERROR(OFFSET('HARGA SATUAN'!$I$6,MATCH(RAB!C163,'HARGA SATUAN'!$C$7:$C$1495,0),0)),0,OFFSET('HARGA SATUAN'!$I$6,MATCH(RAB!C163,'HARGA SATUAN'!$C$7:$C$1495,0),0))</f>
        <v>0</v>
      </c>
      <c r="H163" s="307">
        <f t="shared" ca="1" si="57"/>
        <v>0</v>
      </c>
      <c r="I163" s="307">
        <f t="shared" ca="1" si="58"/>
        <v>0</v>
      </c>
      <c r="J163" s="307">
        <f t="shared" ca="1" si="59"/>
        <v>0</v>
      </c>
      <c r="K163" s="308">
        <f t="shared" ca="1" si="60"/>
        <v>0</v>
      </c>
      <c r="L163" s="314"/>
      <c r="M163" s="288" t="str">
        <f t="shared" ca="1" si="56"/>
        <v/>
      </c>
      <c r="N163" s="314"/>
      <c r="O163" s="309"/>
      <c r="P163" s="309"/>
      <c r="Q163" s="290"/>
      <c r="R163" s="282"/>
      <c r="S163" s="310"/>
      <c r="T163" s="287"/>
      <c r="U163" s="287"/>
      <c r="V163" s="287"/>
    </row>
    <row r="164" spans="1:22" s="315" customFormat="1">
      <c r="A164" s="282"/>
      <c r="B164" s="414" t="s">
        <v>1601</v>
      </c>
      <c r="C164" s="417" t="s">
        <v>1605</v>
      </c>
      <c r="D164" s="304" t="str">
        <f ca="1">IF(ISERROR(OFFSET('HARGA SATUAN'!$D$6,MATCH(RAB!C164,'HARGA SATUAN'!$C$7:$C$1495,0),0)),"",OFFSET('HARGA SATUAN'!$D$6,MATCH(RAB!C164,'HARGA SATUAN'!$C$7:$C$1495,0),0))</f>
        <v/>
      </c>
      <c r="E164" s="305" t="str">
        <f ca="1">IF(B164="+","Unit",IF(ISERROR(OFFSET('HARGA SATUAN'!$E$6,MATCH(RAB!C164,'HARGA SATUAN'!$C$7:$C$1495,0),0)),"",OFFSET('HARGA SATUAN'!$E$6,MATCH(RAB!C164,'HARGA SATUAN'!$C$7:$C$1495,0),0)))</f>
        <v/>
      </c>
      <c r="F164" s="498"/>
      <c r="G164" s="306">
        <f ca="1">IF(ISERROR(OFFSET('HARGA SATUAN'!$I$6,MATCH(RAB!C164,'HARGA SATUAN'!$C$7:$C$1495,0),0)),0,OFFSET('HARGA SATUAN'!$I$6,MATCH(RAB!C164,'HARGA SATUAN'!$C$7:$C$1495,0),0))</f>
        <v>0</v>
      </c>
      <c r="H164" s="307">
        <f t="shared" ca="1" si="48"/>
        <v>0</v>
      </c>
      <c r="I164" s="307">
        <f t="shared" ca="1" si="49"/>
        <v>0</v>
      </c>
      <c r="J164" s="307">
        <f t="shared" ca="1" si="50"/>
        <v>0</v>
      </c>
      <c r="K164" s="308">
        <f t="shared" ca="1" si="51"/>
        <v>0</v>
      </c>
      <c r="L164" s="314"/>
      <c r="M164" s="288" t="str">
        <f t="shared" ca="1" si="56"/>
        <v/>
      </c>
      <c r="N164" s="314"/>
      <c r="O164" s="309"/>
      <c r="P164" s="309"/>
      <c r="Q164" s="290"/>
      <c r="R164" s="282"/>
      <c r="S164" s="310"/>
      <c r="T164" s="287"/>
      <c r="U164" s="287"/>
      <c r="V164" s="287"/>
    </row>
    <row r="165" spans="1:22" s="315" customFormat="1">
      <c r="A165" s="282"/>
      <c r="B165" s="316">
        <v>1</v>
      </c>
      <c r="C165" s="109" t="s">
        <v>1634</v>
      </c>
      <c r="D165" s="304" t="str">
        <f ca="1">IF(ISERROR(OFFSET('HARGA SATUAN'!$D$6,MATCH(RAB!C165,'HARGA SATUAN'!$C$7:$C$1495,0),0)),"",OFFSET('HARGA SATUAN'!$D$6,MATCH(RAB!C165,'HARGA SATUAN'!$C$7:$C$1495,0),0))</f>
        <v>MDU-KD</v>
      </c>
      <c r="E165" s="305" t="str">
        <f ca="1">IF(B165="+","Unit",IF(ISERROR(OFFSET('HARGA SATUAN'!$E$6,MATCH(RAB!C165,'HARGA SATUAN'!$C$7:$C$1495,0),0)),"",OFFSET('HARGA SATUAN'!$E$6,MATCH(RAB!C165,'HARGA SATUAN'!$C$7:$C$1495,0),0)))</f>
        <v>Mtr</v>
      </c>
      <c r="F165" s="496">
        <v>540</v>
      </c>
      <c r="G165" s="306">
        <f ca="1">IF(ISERROR(OFFSET('HARGA SATUAN'!$I$6,MATCH(RAB!C165,'HARGA SATUAN'!$C$7:$C$1495,0),0)),0,OFFSET('HARGA SATUAN'!$I$6,MATCH(RAB!C165,'HARGA SATUAN'!$C$7:$C$1495,0),0))</f>
        <v>53300</v>
      </c>
      <c r="H165" s="307">
        <f t="shared" ca="1" si="48"/>
        <v>28782000</v>
      </c>
      <c r="I165" s="307">
        <f t="shared" ca="1" si="49"/>
        <v>0</v>
      </c>
      <c r="J165" s="307">
        <f t="shared" ca="1" si="50"/>
        <v>0</v>
      </c>
      <c r="K165" s="308">
        <f t="shared" ca="1" si="51"/>
        <v>28782000</v>
      </c>
      <c r="L165" s="314"/>
      <c r="M165" s="288" t="str">
        <f t="shared" si="56"/>
        <v/>
      </c>
      <c r="N165" s="314"/>
      <c r="O165" s="309"/>
      <c r="P165" s="309"/>
      <c r="Q165" s="290"/>
      <c r="R165" s="282"/>
      <c r="S165" s="310"/>
      <c r="T165" s="287"/>
      <c r="U165" s="287"/>
      <c r="V165" s="287"/>
    </row>
    <row r="166" spans="1:22" s="315" customFormat="1">
      <c r="A166" s="282"/>
      <c r="B166" s="316">
        <v>2</v>
      </c>
      <c r="C166" s="109" t="s">
        <v>347</v>
      </c>
      <c r="D166" s="304" t="str">
        <f ca="1">IF(ISERROR(OFFSET('HARGA SATUAN'!$D$6,MATCH(RAB!C166,'HARGA SATUAN'!$C$7:$C$1495,0),0)),"",OFFSET('HARGA SATUAN'!$D$6,MATCH(RAB!C166,'HARGA SATUAN'!$C$7:$C$1495,0),0))</f>
        <v>JASA</v>
      </c>
      <c r="E166" s="305" t="str">
        <f ca="1">IF(B166="+","Unit",IF(ISERROR(OFFSET('HARGA SATUAN'!$E$6,MATCH(RAB!C166,'HARGA SATUAN'!$C$7:$C$1495,0),0)),"",OFFSET('HARGA SATUAN'!$E$6,MATCH(RAB!C166,'HARGA SATUAN'!$C$7:$C$1495,0),0)))</f>
        <v>Per 50 m</v>
      </c>
      <c r="F166" s="506">
        <f>F165/50</f>
        <v>10.8</v>
      </c>
      <c r="G166" s="306">
        <f ca="1">IF(ISERROR(OFFSET('HARGA SATUAN'!$I$6,MATCH(RAB!C166,'HARGA SATUAN'!$C$7:$C$1495,0),0)),0,OFFSET('HARGA SATUAN'!$I$6,MATCH(RAB!C166,'HARGA SATUAN'!$C$7:$C$1495,0),0))</f>
        <v>179000</v>
      </c>
      <c r="H166" s="307">
        <f t="shared" ref="H166" ca="1" si="61">IF(OR(D166="MDU",D166="MDU-KD"),(IF($O$3="RAB NON MDU","PLN KD",G166*F166)),0)</f>
        <v>0</v>
      </c>
      <c r="I166" s="307">
        <f t="shared" ref="I166" ca="1" si="62">IF(D166="HDW",G166*F166,0)</f>
        <v>0</v>
      </c>
      <c r="J166" s="307">
        <f t="shared" ref="J166" ca="1" si="63">IF(D166="JASA",G166*F166,0)</f>
        <v>1933200.0000000002</v>
      </c>
      <c r="K166" s="308">
        <f t="shared" ref="K166" ca="1" si="64">SUM(H166:J166)</f>
        <v>1933200.0000000002</v>
      </c>
      <c r="L166" s="314"/>
      <c r="M166" s="288" t="str">
        <f t="shared" ca="1" si="56"/>
        <v/>
      </c>
      <c r="N166" s="314"/>
      <c r="O166" s="309"/>
      <c r="P166" s="309"/>
      <c r="Q166" s="290"/>
      <c r="R166" s="282"/>
      <c r="S166" s="310"/>
      <c r="T166" s="287"/>
      <c r="U166" s="287"/>
      <c r="V166" s="287"/>
    </row>
    <row r="167" spans="1:22" s="315" customFormat="1">
      <c r="A167" s="282"/>
      <c r="B167" s="316">
        <v>3</v>
      </c>
      <c r="C167" s="109" t="s">
        <v>65</v>
      </c>
      <c r="D167" s="304" t="str">
        <f ca="1">IF(ISERROR(OFFSET('HARGA SATUAN'!$D$6,MATCH(RAB!C167,'HARGA SATUAN'!$C$7:$C$1495,0),0)),"",OFFSET('HARGA SATUAN'!$D$6,MATCH(RAB!C167,'HARGA SATUAN'!$C$7:$C$1495,0),0))</f>
        <v>MDU-KD</v>
      </c>
      <c r="E167" s="305" t="str">
        <f ca="1">IF(B167="+","Unit",IF(ISERROR(OFFSET('HARGA SATUAN'!$E$6,MATCH(RAB!C167,'HARGA SATUAN'!$C$7:$C$1495,0),0)),"",OFFSET('HARGA SATUAN'!$E$6,MATCH(RAB!C167,'HARGA SATUAN'!$C$7:$C$1495,0),0)))</f>
        <v>Mtr</v>
      </c>
      <c r="F167" s="496">
        <v>80</v>
      </c>
      <c r="G167" s="306">
        <f ca="1">IF(ISERROR(OFFSET('HARGA SATUAN'!$I$6,MATCH(RAB!C167,'HARGA SATUAN'!$C$7:$C$1495,0),0)),0,OFFSET('HARGA SATUAN'!$I$6,MATCH(RAB!C167,'HARGA SATUAN'!$C$7:$C$1495,0),0))</f>
        <v>14200</v>
      </c>
      <c r="H167" s="307">
        <f t="shared" ref="H167:H168" ca="1" si="65">IF(OR(D167="MDU",D167="MDU-KD"),(IF($O$3="RAB NON MDU","PLN KD",G167*F167)),0)</f>
        <v>1136000</v>
      </c>
      <c r="I167" s="307">
        <f t="shared" ref="I167:I168" ca="1" si="66">IF(D167="HDW",G167*F167,0)</f>
        <v>0</v>
      </c>
      <c r="J167" s="307">
        <f t="shared" ref="J167:J168" ca="1" si="67">IF(D167="JASA",G167*F167,0)</f>
        <v>0</v>
      </c>
      <c r="K167" s="308">
        <f t="shared" ref="K167:K168" ca="1" si="68">SUM(H167:J167)</f>
        <v>1136000</v>
      </c>
      <c r="L167" s="314"/>
      <c r="M167" s="288" t="str">
        <f t="shared" ca="1" si="56"/>
        <v/>
      </c>
      <c r="N167" s="314"/>
      <c r="O167" s="309"/>
      <c r="P167" s="309"/>
      <c r="Q167" s="290"/>
      <c r="R167" s="282"/>
      <c r="S167" s="310"/>
      <c r="T167" s="287"/>
      <c r="U167" s="287"/>
      <c r="V167" s="287"/>
    </row>
    <row r="168" spans="1:22" s="315" customFormat="1">
      <c r="A168" s="282"/>
      <c r="B168" s="316">
        <v>4</v>
      </c>
      <c r="C168" s="109" t="s">
        <v>476</v>
      </c>
      <c r="D168" s="304" t="str">
        <f ca="1">IF(ISERROR(OFFSET('HARGA SATUAN'!$D$6,MATCH(RAB!C168,'HARGA SATUAN'!$C$7:$C$1495,0),0)),"",OFFSET('HARGA SATUAN'!$D$6,MATCH(RAB!C168,'HARGA SATUAN'!$C$7:$C$1495,0),0))</f>
        <v>JASA</v>
      </c>
      <c r="E168" s="305" t="str">
        <f ca="1">IF(B168="+","Unit",IF(ISERROR(OFFSET('HARGA SATUAN'!$E$6,MATCH(RAB!C168,'HARGA SATUAN'!$C$7:$C$1495,0),0)),"",OFFSET('HARGA SATUAN'!$E$6,MATCH(RAB!C168,'HARGA SATUAN'!$C$7:$C$1495,0),0)))</f>
        <v>Per 50 m</v>
      </c>
      <c r="F168" s="506">
        <f>F167/50</f>
        <v>1.6</v>
      </c>
      <c r="G168" s="306">
        <f ca="1">IF(ISERROR(OFFSET('HARGA SATUAN'!$I$6,MATCH(RAB!C168,'HARGA SATUAN'!$C$7:$C$1495,0),0)),0,OFFSET('HARGA SATUAN'!$I$6,MATCH(RAB!C168,'HARGA SATUAN'!$C$7:$C$1495,0),0))</f>
        <v>115200</v>
      </c>
      <c r="H168" s="307">
        <f t="shared" ca="1" si="65"/>
        <v>0</v>
      </c>
      <c r="I168" s="307">
        <f t="shared" ca="1" si="66"/>
        <v>0</v>
      </c>
      <c r="J168" s="307">
        <f t="shared" ca="1" si="67"/>
        <v>184320</v>
      </c>
      <c r="K168" s="308">
        <f t="shared" ca="1" si="68"/>
        <v>184320</v>
      </c>
      <c r="L168" s="314"/>
      <c r="M168" s="288" t="str">
        <f t="shared" ca="1" si="56"/>
        <v/>
      </c>
      <c r="N168" s="314"/>
      <c r="O168" s="309"/>
      <c r="P168" s="309"/>
      <c r="Q168" s="290"/>
      <c r="R168" s="282"/>
      <c r="S168" s="310"/>
      <c r="T168" s="287"/>
      <c r="U168" s="287"/>
      <c r="V168" s="287"/>
    </row>
    <row r="169" spans="1:22" s="315" customFormat="1">
      <c r="A169" s="282"/>
      <c r="B169" s="316"/>
      <c r="C169" s="317"/>
      <c r="D169" s="304" t="str">
        <f ca="1">IF(ISERROR(OFFSET('HARGA SATUAN'!$D$6,MATCH(RAB!C169,'HARGA SATUAN'!$C$7:$C$1495,0),0)),"",OFFSET('HARGA SATUAN'!$D$6,MATCH(RAB!C169,'HARGA SATUAN'!$C$7:$C$1495,0),0))</f>
        <v/>
      </c>
      <c r="E169" s="305" t="str">
        <f ca="1">IF(B169="+","Unit",IF(ISERROR(OFFSET('HARGA SATUAN'!$E$6,MATCH(RAB!C169,'HARGA SATUAN'!$C$7:$C$1495,0),0)),"",OFFSET('HARGA SATUAN'!$E$6,MATCH(RAB!C169,'HARGA SATUAN'!$C$7:$C$1495,0),0)))</f>
        <v/>
      </c>
      <c r="F169" s="496"/>
      <c r="G169" s="306">
        <f ca="1">IF(ISERROR(OFFSET('HARGA SATUAN'!$I$6,MATCH(RAB!C169,'HARGA SATUAN'!$C$7:$C$1495,0),0)),0,OFFSET('HARGA SATUAN'!$I$6,MATCH(RAB!C169,'HARGA SATUAN'!$C$7:$C$1495,0),0))</f>
        <v>0</v>
      </c>
      <c r="H169" s="307">
        <f t="shared" ref="H169:H177" ca="1" si="69">IF(OR(D169="MDU",D169="MDU-KD"),(IF($O$3="RAB NON MDU","PLN KD",G169*F169)),0)</f>
        <v>0</v>
      </c>
      <c r="I169" s="307">
        <f t="shared" ref="I169:I177" ca="1" si="70">IF(D169="HDW",G169*F169,0)</f>
        <v>0</v>
      </c>
      <c r="J169" s="307">
        <f t="shared" ref="J169:J177" ca="1" si="71">IF(D169="JASA",G169*F169,0)</f>
        <v>0</v>
      </c>
      <c r="K169" s="308">
        <f t="shared" ref="K169:K177" ca="1" si="72">SUM(H169:J169)</f>
        <v>0</v>
      </c>
      <c r="L169" s="314"/>
      <c r="M169" s="288" t="str">
        <f t="shared" ca="1" si="56"/>
        <v/>
      </c>
      <c r="N169" s="314"/>
      <c r="O169" s="309"/>
      <c r="P169" s="309"/>
      <c r="Q169" s="290"/>
      <c r="R169" s="282"/>
      <c r="S169" s="310"/>
      <c r="T169" s="287"/>
      <c r="U169" s="287"/>
      <c r="V169" s="287"/>
    </row>
    <row r="170" spans="1:22" s="315" customFormat="1">
      <c r="A170" s="282"/>
      <c r="B170" s="414" t="s">
        <v>1614</v>
      </c>
      <c r="C170" s="417" t="s">
        <v>1607</v>
      </c>
      <c r="D170" s="304" t="str">
        <f ca="1">IF(ISERROR(OFFSET('HARGA SATUAN'!$D$6,MATCH(RAB!C170,'HARGA SATUAN'!$C$7:$C$1495,0),0)),"",OFFSET('HARGA SATUAN'!$D$6,MATCH(RAB!C170,'HARGA SATUAN'!$C$7:$C$1495,0),0))</f>
        <v/>
      </c>
      <c r="E170" s="305" t="str">
        <f ca="1">IF(B170="+","Unit",IF(ISERROR(OFFSET('HARGA SATUAN'!$E$6,MATCH(RAB!C170,'HARGA SATUAN'!$C$7:$C$1495,0),0)),"",OFFSET('HARGA SATUAN'!$E$6,MATCH(RAB!C170,'HARGA SATUAN'!$C$7:$C$1495,0),0)))</f>
        <v/>
      </c>
      <c r="F170" s="499"/>
      <c r="G170" s="306">
        <f ca="1">IF(ISERROR(OFFSET('HARGA SATUAN'!$I$6,MATCH(RAB!C170,'HARGA SATUAN'!$C$7:$C$1495,0),0)),0,OFFSET('HARGA SATUAN'!$I$6,MATCH(RAB!C170,'HARGA SATUAN'!$C$7:$C$1495,0),0))</f>
        <v>0</v>
      </c>
      <c r="H170" s="307">
        <f t="shared" ca="1" si="69"/>
        <v>0</v>
      </c>
      <c r="I170" s="307">
        <f t="shared" ca="1" si="70"/>
        <v>0</v>
      </c>
      <c r="J170" s="307">
        <f t="shared" ca="1" si="71"/>
        <v>0</v>
      </c>
      <c r="K170" s="308">
        <f t="shared" ca="1" si="72"/>
        <v>0</v>
      </c>
      <c r="L170" s="314"/>
      <c r="M170" s="288" t="str">
        <f t="shared" ca="1" si="56"/>
        <v/>
      </c>
      <c r="N170" s="314"/>
      <c r="O170" s="309"/>
      <c r="P170" s="309"/>
      <c r="Q170" s="290"/>
      <c r="R170" s="282"/>
      <c r="S170" s="310"/>
      <c r="T170" s="287"/>
      <c r="U170" s="287"/>
      <c r="V170" s="287"/>
    </row>
    <row r="171" spans="1:22" s="315" customFormat="1">
      <c r="A171" s="282"/>
      <c r="B171" s="492" t="s">
        <v>1035</v>
      </c>
      <c r="C171" s="493" t="s">
        <v>1637</v>
      </c>
      <c r="D171" s="304" t="str">
        <f ca="1">IF(ISERROR(OFFSET('HARGA SATUAN'!$D$6,MATCH(RAB!C171,'HARGA SATUAN'!$C$7:$C$1495,0),0)),"",OFFSET('HARGA SATUAN'!$D$6,MATCH(RAB!C171,'HARGA SATUAN'!$C$7:$C$1495,0),0))</f>
        <v/>
      </c>
      <c r="E171" s="305" t="str">
        <f ca="1">IF(B171="+","Unit",IF(ISERROR(OFFSET('HARGA SATUAN'!$E$6,MATCH(RAB!C171,'HARGA SATUAN'!$C$7:$C$1495,0),0)),"",OFFSET('HARGA SATUAN'!$E$6,MATCH(RAB!C171,'HARGA SATUAN'!$C$7:$C$1495,0),0)))</f>
        <v>Unit</v>
      </c>
      <c r="F171" s="496">
        <f>53+1</f>
        <v>54</v>
      </c>
      <c r="G171" s="306">
        <f ca="1">IF(ISERROR(OFFSET('HARGA SATUAN'!$I$6,MATCH(RAB!C171,'HARGA SATUAN'!$C$7:$C$1495,0),0)),0,OFFSET('HARGA SATUAN'!$I$6,MATCH(RAB!C171,'HARGA SATUAN'!$C$7:$C$1495,0),0))</f>
        <v>0</v>
      </c>
      <c r="H171" s="307">
        <f t="shared" ca="1" si="69"/>
        <v>0</v>
      </c>
      <c r="I171" s="307">
        <f t="shared" ca="1" si="70"/>
        <v>0</v>
      </c>
      <c r="J171" s="307">
        <f t="shared" ca="1" si="71"/>
        <v>0</v>
      </c>
      <c r="K171" s="308">
        <f t="shared" ca="1" si="72"/>
        <v>0</v>
      </c>
      <c r="L171" s="314"/>
      <c r="M171" s="288" t="str">
        <f t="shared" si="56"/>
        <v/>
      </c>
      <c r="N171" s="314"/>
      <c r="O171" s="309"/>
      <c r="P171" s="309"/>
      <c r="Q171" s="290"/>
      <c r="R171" s="282"/>
      <c r="S171" s="310"/>
      <c r="T171" s="287"/>
      <c r="U171" s="287"/>
      <c r="V171" s="287"/>
    </row>
    <row r="172" spans="1:22" s="315" customFormat="1">
      <c r="A172" s="282"/>
      <c r="B172" s="486">
        <v>1</v>
      </c>
      <c r="C172" s="109" t="s">
        <v>482</v>
      </c>
      <c r="D172" s="304" t="str">
        <f ca="1">IF(ISERROR(OFFSET('HARGA SATUAN'!$D$6,MATCH(RAB!C172,'HARGA SATUAN'!$C$7:$C$1495,0),0)),"",OFFSET('HARGA SATUAN'!$D$6,MATCH(RAB!C172,'HARGA SATUAN'!$C$7:$C$1495,0),0))</f>
        <v>MDU-KD</v>
      </c>
      <c r="E172" s="305" t="str">
        <f ca="1">IF(B172="+","Unit",IF(ISERROR(OFFSET('HARGA SATUAN'!$E$6,MATCH(RAB!C172,'HARGA SATUAN'!$C$7:$C$1495,0),0)),"",OFFSET('HARGA SATUAN'!$E$6,MATCH(RAB!C172,'HARGA SATUAN'!$C$7:$C$1495,0),0)))</f>
        <v>Bh</v>
      </c>
      <c r="F172" s="496">
        <f>F171*1</f>
        <v>54</v>
      </c>
      <c r="G172" s="306">
        <f ca="1">IF(ISERROR(OFFSET('HARGA SATUAN'!$I$6,MATCH(RAB!C172,'HARGA SATUAN'!$C$7:$C$1495,0),0)),0,OFFSET('HARGA SATUAN'!$I$6,MATCH(RAB!C172,'HARGA SATUAN'!$C$7:$C$1495,0),0))</f>
        <v>327600</v>
      </c>
      <c r="H172" s="307">
        <f t="shared" ca="1" si="69"/>
        <v>17690400</v>
      </c>
      <c r="I172" s="307">
        <f t="shared" ca="1" si="70"/>
        <v>0</v>
      </c>
      <c r="J172" s="307">
        <f t="shared" ca="1" si="71"/>
        <v>0</v>
      </c>
      <c r="K172" s="308">
        <f t="shared" ca="1" si="72"/>
        <v>17690400</v>
      </c>
      <c r="L172" s="314"/>
      <c r="M172" s="288" t="str">
        <f t="shared" ca="1" si="56"/>
        <v/>
      </c>
      <c r="N172" s="314"/>
      <c r="O172" s="309"/>
      <c r="P172" s="309"/>
      <c r="Q172" s="290"/>
      <c r="R172" s="282"/>
      <c r="S172" s="310"/>
      <c r="T172" s="287"/>
      <c r="U172" s="287"/>
      <c r="V172" s="287"/>
    </row>
    <row r="173" spans="1:22" s="315" customFormat="1">
      <c r="A173" s="282"/>
      <c r="B173" s="486">
        <v>2</v>
      </c>
      <c r="C173" s="494" t="s">
        <v>487</v>
      </c>
      <c r="D173" s="304" t="str">
        <f ca="1">IF(ISERROR(OFFSET('HARGA SATUAN'!$D$6,MATCH(RAB!C173,'HARGA SATUAN'!$C$7:$C$1495,0),0)),"",OFFSET('HARGA SATUAN'!$D$6,MATCH(RAB!C173,'HARGA SATUAN'!$C$7:$C$1495,0),0))</f>
        <v>MDU-KD</v>
      </c>
      <c r="E173" s="305" t="str">
        <f ca="1">IF(B173="+","Unit",IF(ISERROR(OFFSET('HARGA SATUAN'!$E$6,MATCH(RAB!C173,'HARGA SATUAN'!$C$7:$C$1495,0),0)),"",OFFSET('HARGA SATUAN'!$E$6,MATCH(RAB!C173,'HARGA SATUAN'!$C$7:$C$1495,0),0)))</f>
        <v>Bh</v>
      </c>
      <c r="F173" s="496">
        <f>F171*1</f>
        <v>54</v>
      </c>
      <c r="G173" s="306">
        <f ca="1">IF(ISERROR(OFFSET('HARGA SATUAN'!$I$6,MATCH(RAB!C173,'HARGA SATUAN'!$C$7:$C$1495,0),0)),0,OFFSET('HARGA SATUAN'!$I$6,MATCH(RAB!C173,'HARGA SATUAN'!$C$7:$C$1495,0),0))</f>
        <v>39000</v>
      </c>
      <c r="H173" s="307">
        <f t="shared" ca="1" si="69"/>
        <v>2106000</v>
      </c>
      <c r="I173" s="307">
        <f t="shared" ca="1" si="70"/>
        <v>0</v>
      </c>
      <c r="J173" s="307">
        <f t="shared" ca="1" si="71"/>
        <v>0</v>
      </c>
      <c r="K173" s="308">
        <f t="shared" ca="1" si="72"/>
        <v>2106000</v>
      </c>
      <c r="L173" s="314"/>
      <c r="M173" s="288" t="str">
        <f t="shared" ca="1" si="56"/>
        <v/>
      </c>
      <c r="N173" s="314"/>
      <c r="O173" s="309"/>
      <c r="P173" s="309"/>
      <c r="Q173" s="290"/>
      <c r="R173" s="282"/>
      <c r="S173" s="310"/>
      <c r="T173" s="287"/>
      <c r="U173" s="287"/>
      <c r="V173" s="287"/>
    </row>
    <row r="174" spans="1:22" s="315" customFormat="1">
      <c r="A174" s="282"/>
      <c r="B174" s="486">
        <v>3</v>
      </c>
      <c r="C174" s="494" t="s">
        <v>73</v>
      </c>
      <c r="D174" s="304" t="str">
        <f ca="1">IF(ISERROR(OFFSET('HARGA SATUAN'!$D$6,MATCH(RAB!C174,'HARGA SATUAN'!$C$7:$C$1495,0),0)),"",OFFSET('HARGA SATUAN'!$D$6,MATCH(RAB!C174,'HARGA SATUAN'!$C$7:$C$1495,0),0))</f>
        <v>MDU-KD</v>
      </c>
      <c r="E174" s="305" t="str">
        <f ca="1">IF(B174="+","Unit",IF(ISERROR(OFFSET('HARGA SATUAN'!$E$6,MATCH(RAB!C174,'HARGA SATUAN'!$C$7:$C$1495,0),0)),"",OFFSET('HARGA SATUAN'!$E$6,MATCH(RAB!C174,'HARGA SATUAN'!$C$7:$C$1495,0),0)))</f>
        <v>Mtr</v>
      </c>
      <c r="F174" s="496">
        <f>F171*25</f>
        <v>1350</v>
      </c>
      <c r="G174" s="306">
        <f ca="1">IF(ISERROR(OFFSET('HARGA SATUAN'!$I$6,MATCH(RAB!C174,'HARGA SATUAN'!$C$7:$C$1495,0),0)),0,OFFSET('HARGA SATUAN'!$I$6,MATCH(RAB!C174,'HARGA SATUAN'!$C$7:$C$1495,0),0))</f>
        <v>4300</v>
      </c>
      <c r="H174" s="307">
        <f t="shared" ca="1" si="69"/>
        <v>5805000</v>
      </c>
      <c r="I174" s="307">
        <f t="shared" ca="1" si="70"/>
        <v>0</v>
      </c>
      <c r="J174" s="307">
        <f t="shared" ca="1" si="71"/>
        <v>0</v>
      </c>
      <c r="K174" s="308">
        <f t="shared" ca="1" si="72"/>
        <v>5805000</v>
      </c>
      <c r="L174" s="314"/>
      <c r="M174" s="288" t="str">
        <f t="shared" ca="1" si="56"/>
        <v/>
      </c>
      <c r="N174" s="314"/>
      <c r="O174" s="309"/>
      <c r="P174" s="309"/>
      <c r="Q174" s="290"/>
      <c r="R174" s="282"/>
      <c r="S174" s="310"/>
      <c r="T174" s="287"/>
      <c r="U174" s="287"/>
      <c r="V174" s="287"/>
    </row>
    <row r="175" spans="1:22" s="315" customFormat="1">
      <c r="A175" s="282"/>
      <c r="B175" s="486">
        <v>4</v>
      </c>
      <c r="C175" s="494" t="s">
        <v>798</v>
      </c>
      <c r="D175" s="304" t="str">
        <f ca="1">IF(ISERROR(OFFSET('HARGA SATUAN'!$D$6,MATCH(RAB!C175,'HARGA SATUAN'!$C$7:$C$1495,0),0)),"",OFFSET('HARGA SATUAN'!$D$6,MATCH(RAB!C175,'HARGA SATUAN'!$C$7:$C$1495,0),0))</f>
        <v>JASA</v>
      </c>
      <c r="E175" s="305" t="str">
        <f ca="1">IF(B175="+","Unit",IF(ISERROR(OFFSET('HARGA SATUAN'!$E$6,MATCH(RAB!C175,'HARGA SATUAN'!$C$7:$C$1495,0),0)),"",OFFSET('HARGA SATUAN'!$E$6,MATCH(RAB!C175,'HARGA SATUAN'!$C$7:$C$1495,0),0)))</f>
        <v>Unit</v>
      </c>
      <c r="F175" s="496">
        <f>F171*1</f>
        <v>54</v>
      </c>
      <c r="G175" s="306">
        <f ca="1">IF(ISERROR(OFFSET('HARGA SATUAN'!$I$6,MATCH(RAB!C175,'HARGA SATUAN'!$C$7:$C$1495,0),0)),0,OFFSET('HARGA SATUAN'!$I$6,MATCH(RAB!C175,'HARGA SATUAN'!$C$7:$C$1495,0),0))</f>
        <v>54400</v>
      </c>
      <c r="H175" s="307">
        <f t="shared" ca="1" si="69"/>
        <v>0</v>
      </c>
      <c r="I175" s="307">
        <f t="shared" ca="1" si="70"/>
        <v>0</v>
      </c>
      <c r="J175" s="307">
        <f t="shared" ca="1" si="71"/>
        <v>2937600</v>
      </c>
      <c r="K175" s="308">
        <f t="shared" ca="1" si="72"/>
        <v>2937600</v>
      </c>
      <c r="L175" s="314"/>
      <c r="M175" s="288" t="str">
        <f t="shared" ca="1" si="56"/>
        <v/>
      </c>
      <c r="N175" s="314"/>
      <c r="O175" s="309"/>
      <c r="P175" s="309"/>
      <c r="Q175" s="290"/>
      <c r="R175" s="282"/>
      <c r="S175" s="310"/>
      <c r="T175" s="287"/>
      <c r="U175" s="287"/>
      <c r="V175" s="287"/>
    </row>
    <row r="176" spans="1:22" s="315" customFormat="1">
      <c r="A176" s="282"/>
      <c r="B176" s="486">
        <v>6</v>
      </c>
      <c r="C176" s="109" t="s">
        <v>1153</v>
      </c>
      <c r="D176" s="304" t="str">
        <f ca="1">IF(ISERROR(OFFSET('HARGA SATUAN'!$D$6,MATCH(RAB!C176,'HARGA SATUAN'!$C$7:$C$1495,0),0)),"",OFFSET('HARGA SATUAN'!$D$6,MATCH(RAB!C176,'HARGA SATUAN'!$C$7:$C$1495,0),0))</f>
        <v>HDW</v>
      </c>
      <c r="E176" s="305" t="str">
        <f ca="1">IF(B176="+","Unit",IF(ISERROR(OFFSET('HARGA SATUAN'!$E$6,MATCH(RAB!C176,'HARGA SATUAN'!$C$7:$C$1495,0),0)),"",OFFSET('HARGA SATUAN'!$E$6,MATCH(RAB!C176,'HARGA SATUAN'!$C$7:$C$1495,0),0)))</f>
        <v>Set</v>
      </c>
      <c r="F176" s="500">
        <f>F171*1</f>
        <v>54</v>
      </c>
      <c r="G176" s="306">
        <f ca="1">IF(ISERROR(OFFSET('HARGA SATUAN'!$I$6,MATCH(RAB!C176,'HARGA SATUAN'!$C$7:$C$1495,0),0)),0,OFFSET('HARGA SATUAN'!$I$6,MATCH(RAB!C176,'HARGA SATUAN'!$C$7:$C$1495,0),0))</f>
        <v>3888</v>
      </c>
      <c r="H176" s="307">
        <f t="shared" ca="1" si="69"/>
        <v>0</v>
      </c>
      <c r="I176" s="307">
        <f t="shared" ca="1" si="70"/>
        <v>209952</v>
      </c>
      <c r="J176" s="307">
        <f t="shared" ca="1" si="71"/>
        <v>0</v>
      </c>
      <c r="K176" s="308">
        <f t="shared" ca="1" si="72"/>
        <v>209952</v>
      </c>
      <c r="L176" s="314"/>
      <c r="M176" s="288" t="str">
        <f t="shared" ca="1" si="56"/>
        <v/>
      </c>
      <c r="N176" s="314"/>
      <c r="O176" s="309"/>
      <c r="P176" s="309"/>
      <c r="Q176" s="290"/>
      <c r="R176" s="282"/>
      <c r="S176" s="310"/>
      <c r="T176" s="287"/>
      <c r="U176" s="287"/>
      <c r="V176" s="287"/>
    </row>
    <row r="177" spans="1:22" s="315" customFormat="1">
      <c r="A177" s="282"/>
      <c r="B177" s="486">
        <v>7</v>
      </c>
      <c r="C177" s="494" t="s">
        <v>119</v>
      </c>
      <c r="D177" s="304" t="str">
        <f ca="1">IF(ISERROR(OFFSET('HARGA SATUAN'!$D$6,MATCH(RAB!C177,'HARGA SATUAN'!$C$7:$C$1495,0),0)),"",OFFSET('HARGA SATUAN'!$D$6,MATCH(RAB!C177,'HARGA SATUAN'!$C$7:$C$1495,0),0))</f>
        <v>HDW</v>
      </c>
      <c r="E177" s="305" t="str">
        <f ca="1">IF(B177="+","Unit",IF(ISERROR(OFFSET('HARGA SATUAN'!$E$6,MATCH(RAB!C177,'HARGA SATUAN'!$C$7:$C$1495,0),0)),"",OFFSET('HARGA SATUAN'!$E$6,MATCH(RAB!C177,'HARGA SATUAN'!$C$7:$C$1495,0),0)))</f>
        <v>Set</v>
      </c>
      <c r="F177" s="500">
        <f>F171*2</f>
        <v>108</v>
      </c>
      <c r="G177" s="306">
        <f ca="1">IF(ISERROR(OFFSET('HARGA SATUAN'!$I$6,MATCH(RAB!C177,'HARGA SATUAN'!$C$7:$C$1495,0),0)),0,OFFSET('HARGA SATUAN'!$I$6,MATCH(RAB!C177,'HARGA SATUAN'!$C$7:$C$1495,0),0))</f>
        <v>8900</v>
      </c>
      <c r="H177" s="307">
        <f t="shared" ca="1" si="69"/>
        <v>0</v>
      </c>
      <c r="I177" s="307">
        <f t="shared" ca="1" si="70"/>
        <v>961200</v>
      </c>
      <c r="J177" s="307">
        <f t="shared" ca="1" si="71"/>
        <v>0</v>
      </c>
      <c r="K177" s="308">
        <f t="shared" ca="1" si="72"/>
        <v>961200</v>
      </c>
      <c r="L177" s="314"/>
      <c r="M177" s="288" t="str">
        <f t="shared" ca="1" si="56"/>
        <v/>
      </c>
      <c r="N177" s="314"/>
      <c r="O177" s="309"/>
      <c r="P177" s="309"/>
      <c r="Q177" s="290"/>
      <c r="R177" s="282"/>
      <c r="S177" s="310"/>
      <c r="T177" s="287"/>
      <c r="U177" s="287"/>
      <c r="V177" s="287"/>
    </row>
    <row r="178" spans="1:22">
      <c r="B178" s="319"/>
      <c r="C178" s="318"/>
      <c r="D178" s="304" t="str">
        <f ca="1">IF(ISERROR(OFFSET('HARGA SATUAN'!$D$6,MATCH(RAB!C178,'HARGA SATUAN'!$C$7:$C$1495,0),0)),"",OFFSET('HARGA SATUAN'!$D$6,MATCH(RAB!C178,'HARGA SATUAN'!$C$7:$C$1495,0),0))</f>
        <v/>
      </c>
      <c r="E178" s="305" t="str">
        <f ca="1">IF(B178="+","Unit",IF(ISERROR(OFFSET('HARGA SATUAN'!$E$6,MATCH(RAB!C178,'HARGA SATUAN'!$C$7:$C$1495,0),0)),"",OFFSET('HARGA SATUAN'!$E$6,MATCH(RAB!C178,'HARGA SATUAN'!$C$7:$C$1495,0),0)))</f>
        <v/>
      </c>
      <c r="F178" s="313"/>
      <c r="G178" s="306">
        <f ca="1">IF(ISERROR(OFFSET('HARGA SATUAN'!$I$6,MATCH(RAB!C178,'HARGA SATUAN'!$C$7:$C$1495,0),0)),0,OFFSET('HARGA SATUAN'!$I$6,MATCH(RAB!C178,'HARGA SATUAN'!$C$7:$C$1495,0),0))</f>
        <v>0</v>
      </c>
      <c r="H178" s="307">
        <f t="shared" ref="H178" ca="1" si="73">IF(OR(D178="MDU",D178="MDU-KD"),(IF($O$3="RAB NON MDU","PLN KD",G178*F178)),0)</f>
        <v>0</v>
      </c>
      <c r="I178" s="307">
        <f t="shared" ref="I178" ca="1" si="74">IF(D178="HDW",G178*F178,0)</f>
        <v>0</v>
      </c>
      <c r="J178" s="307">
        <f t="shared" ref="J178" ca="1" si="75">IF(D178="JASA",G178*F178,0)</f>
        <v>0</v>
      </c>
      <c r="K178" s="308">
        <f t="shared" ref="K178" ca="1" si="76">SUM(H178:J178)</f>
        <v>0</v>
      </c>
      <c r="M178" s="288" t="str">
        <f t="shared" ca="1" si="56"/>
        <v/>
      </c>
    </row>
    <row r="179" spans="1:22">
      <c r="B179" s="320"/>
      <c r="C179" s="321" t="s">
        <v>475</v>
      </c>
      <c r="D179" s="304" t="str">
        <f ca="1">IF(ISERROR(OFFSET('HARGA SATUAN'!$D$6,MATCH(RAB!C179,'HARGA SATUAN'!$C$7:$C$1495,0),0)),"",OFFSET('HARGA SATUAN'!$D$6,MATCH(RAB!C179,'HARGA SATUAN'!$C$7:$C$1495,0),0))</f>
        <v/>
      </c>
      <c r="E179" s="305" t="str">
        <f ca="1">IF(B179="+","Unit",IF(ISERROR(OFFSET('HARGA SATUAN'!$E$6,MATCH(RAB!C179,'HARGA SATUAN'!$C$7:$C$1495,0),0)),"",OFFSET('HARGA SATUAN'!$E$6,MATCH(RAB!C179,'HARGA SATUAN'!$C$7:$C$1495,0),0)))</f>
        <v/>
      </c>
      <c r="F179" s="313"/>
      <c r="G179" s="306">
        <f ca="1">IF(ISERROR(OFFSET('HARGA SATUAN'!$I$6,MATCH(RAB!C179,'HARGA SATUAN'!$C$7:$C$1495,0),0)),0,OFFSET('HARGA SATUAN'!$I$6,MATCH(RAB!C179,'HARGA SATUAN'!$C$7:$C$1495,0),0))</f>
        <v>0</v>
      </c>
      <c r="H179" s="307">
        <f t="shared" ref="H179" ca="1" si="77">IF(OR(D179="MDU",D179="MDU-KD"),(IF($O$3="RAB NON MDU","PLN KD",G179*F179)),0)</f>
        <v>0</v>
      </c>
      <c r="I179" s="307">
        <f t="shared" ref="I179" ca="1" si="78">IF(D179="HDW",G179*F179,0)</f>
        <v>0</v>
      </c>
      <c r="J179" s="307">
        <f t="shared" ref="J179" ca="1" si="79">IF(D179="JASA",G179*F179,0)</f>
        <v>0</v>
      </c>
      <c r="K179" s="308">
        <f t="shared" ref="K179" ca="1" si="80">SUM(H179:J179)</f>
        <v>0</v>
      </c>
      <c r="M179" s="288" t="e">
        <f>IF(AND(F179&gt;0,#REF!=0),"",IF(AND(ISBLANK(F179)=FALSE,K179=0),"WARNING",""))</f>
        <v>#REF!</v>
      </c>
    </row>
    <row r="180" spans="1:22">
      <c r="B180" s="322">
        <v>1</v>
      </c>
      <c r="C180" s="323" t="s">
        <v>1091</v>
      </c>
      <c r="D180" s="324" t="str">
        <f ca="1">IF(ISERROR(OFFSET('HARGA SATUAN'!$D$6,MATCH(RAB!C180,'HARGA SATUAN'!$C$7:$C$1495,0),0)),"",OFFSET('HARGA SATUAN'!$D$6,MATCH(RAB!C180,'HARGA SATUAN'!$C$7:$C$1495,0),0))</f>
        <v>JASA</v>
      </c>
      <c r="E180" s="325" t="str">
        <f ca="1">IF(ISERROR(OFFSET('HARGA SATUAN'!$E$6,MATCH(RAB!C180,'HARGA SATUAN'!$C$7:$C$1495,0),0)),"",OFFSET('HARGA SATUAN'!$E$6,MATCH(RAB!C180,'HARGA SATUAN'!$C$7:$C$1495,0),0))</f>
        <v>Lot</v>
      </c>
      <c r="F180" s="326">
        <v>1</v>
      </c>
      <c r="G180" s="327">
        <f ca="1">IF(ISERROR(OFFSET('HARGA SATUAN'!$I$6,MATCH(RAB!C180,'HARGA SATUAN'!$C$7:$C$1495,0),0)),0,OFFSET('HARGA SATUAN'!$I$6,MATCH(RAB!C180,'HARGA SATUAN'!$C$7:$C$1495,0),0))</f>
        <v>2.5000000000000001E-2</v>
      </c>
      <c r="H180" s="328">
        <f ca="1">SUM(H14:H179)*G180</f>
        <v>2134600</v>
      </c>
      <c r="I180" s="328">
        <f ca="1">SUM(I14:I179)*G180</f>
        <v>1452691.4426666668</v>
      </c>
      <c r="J180" s="328">
        <f ca="1">SUM(J14:J179)*G180</f>
        <v>175755.5</v>
      </c>
      <c r="K180" s="328">
        <f ca="1">SUM(K14:K179)*G180</f>
        <v>3763046.9426666666</v>
      </c>
      <c r="M180" s="288" t="str">
        <f t="shared" ref="M180" si="81">IF(AND(F180&gt;0,F179=0),"",IF(AND(ISBLANK(F180)=FALSE,K180=0),"WARNING",""))</f>
        <v/>
      </c>
    </row>
    <row r="181" spans="1:22" ht="15.75" thickBot="1">
      <c r="B181" s="329"/>
      <c r="C181" s="330"/>
      <c r="D181" s="331"/>
      <c r="E181" s="332"/>
      <c r="F181" s="332"/>
      <c r="G181" s="332"/>
      <c r="H181" s="333"/>
      <c r="I181" s="333"/>
      <c r="J181" s="333"/>
      <c r="K181" s="334"/>
    </row>
    <row r="182" spans="1:22">
      <c r="B182" s="335"/>
      <c r="C182" s="610" t="s">
        <v>1008</v>
      </c>
      <c r="D182" s="610"/>
      <c r="E182" s="610"/>
      <c r="F182" s="610"/>
      <c r="G182" s="336" t="s">
        <v>9</v>
      </c>
      <c r="H182" s="337">
        <f ca="1">SUM(H14:H180)</f>
        <v>87518600</v>
      </c>
      <c r="I182" s="337">
        <f ca="1">SUM(I14:I180)</f>
        <v>59560349.149333335</v>
      </c>
      <c r="J182" s="337">
        <f ca="1">SUM(J14:J180)</f>
        <v>7205975.5</v>
      </c>
      <c r="K182" s="337">
        <f ca="1">SUM(K14:K180)</f>
        <v>154284924.64933333</v>
      </c>
    </row>
    <row r="183" spans="1:22">
      <c r="B183" s="338"/>
      <c r="C183" s="627" t="s">
        <v>1455</v>
      </c>
      <c r="D183" s="627"/>
      <c r="E183" s="627"/>
      <c r="F183" s="627"/>
      <c r="G183" s="339" t="s">
        <v>9</v>
      </c>
      <c r="H183" s="340">
        <f ca="1">H182*0.11</f>
        <v>9627046</v>
      </c>
      <c r="I183" s="340">
        <f ca="1">I182*0.11</f>
        <v>6551638.4064266672</v>
      </c>
      <c r="J183" s="340">
        <f ca="1">J182*0.11</f>
        <v>792657.30500000005</v>
      </c>
      <c r="K183" s="340">
        <f ca="1">K182*0.11</f>
        <v>16971341.711426668</v>
      </c>
    </row>
    <row r="184" spans="1:22" ht="15.75" thickBot="1">
      <c r="B184" s="338"/>
      <c r="C184" s="624" t="s">
        <v>463</v>
      </c>
      <c r="D184" s="624"/>
      <c r="E184" s="624"/>
      <c r="F184" s="624"/>
      <c r="G184" s="341" t="s">
        <v>9</v>
      </c>
      <c r="H184" s="342">
        <f ca="1">SUM(H182:H183)</f>
        <v>97145646</v>
      </c>
      <c r="I184" s="342">
        <f ca="1">SUM(I182:I183)</f>
        <v>66111987.555760004</v>
      </c>
      <c r="J184" s="341">
        <f ca="1">SUM(J182:J183)</f>
        <v>7998632.8049999997</v>
      </c>
      <c r="K184" s="341">
        <f ca="1">SUM(K182:K183)</f>
        <v>171256266.36076</v>
      </c>
      <c r="M184" s="406">
        <v>201265205.30690998</v>
      </c>
    </row>
    <row r="185" spans="1:22">
      <c r="B185" s="628" t="str">
        <f ca="1">"Terbilang : "&amp;PROPER(IF(K184=0,"nol",IF(K184&lt;0,"minus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IF(--MID(TEXT(ABS(K184),"000000000000000"),1,3)=0,"",MID(TEXT(ABS(K184),"000000000000000"),1,1)&amp;" ratus "&amp;MID(TEXT(ABS(K184),"000000000000000"),2,1)&amp;" puluh "&amp;MID(TEXT(ABS(K184),"000000000000000"),3,1)&amp;" trilyun ")&amp; IF(--MID(TEXT(ABS(K184),"000000000000000"),4,3)=0,"",MID(TEXT(ABS(K184),"000000000000000"),4,1)&amp;" ratus "&amp;MID(TEXT(ABS(K184),"000000000000000"),5,1)&amp;" puluh "&amp;MID(TEXT(ABS(K184),"000000000000000"),6,1)&amp;" milyar ")&amp; IF(--MID(TEXT(ABS(K184),"000000000000000"),7,3)=0,"",MID(TEXT(ABS(K184),"000000000000000"),7,1)&amp;" ratus "&amp;MID(TEXT(ABS(K184),"000000000000000"),8,1)&amp;" puluh "&amp;MID(TEXT(ABS(K184),"000000000000000"),9,1)&amp;" juta ")&amp; IF(--MID(TEXT(ABS(K184),"000000000000000"),10,3)=0,"",IF(--MID(TEXT(ABS(K184),"000000000000000"),10,3)=1,"*",MID(TEXT(ABS(K184),"000000000000000"),10,1)&amp;" ratus "&amp;MID(TEXT(ABS(K184),"000000000000000"),11,1)&amp;" puluh ")&amp;MID(TEXT(ABS(K184),"000000000000000"),12,1)&amp;" ribu ")&amp; IF(--MID(TEXT(ABS(K184),"000000000000000"),13,3)=0,"",MID(TEXT(ABS(K184),"000000000000000"),13,1)&amp;" ratus "&amp;MID(TEXT(ABS(K184),"000000000000000"),14,1)&amp;" puluh "&amp;MID(TEXT(ABS(K184),"000000000000000"),15,1)),1,"satu"),2,"dua"),3,"tiga"),4,"empat"),5,"lima"),6,"enam"),7,"tujuh"),8,"delapan"),9,"sembilan"),"0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Satu Juta Dua Ratus Lima Puluh Enam Ribu Dua Ratus Enam Puluh Enam Rupiah</v>
      </c>
      <c r="C185" s="629"/>
      <c r="D185" s="629"/>
      <c r="E185" s="629"/>
      <c r="F185" s="629"/>
      <c r="G185" s="629"/>
      <c r="H185" s="629"/>
      <c r="I185" s="629"/>
      <c r="J185" s="629"/>
      <c r="K185" s="630"/>
    </row>
    <row r="186" spans="1:22">
      <c r="B186" s="631"/>
      <c r="C186" s="632"/>
      <c r="D186" s="632"/>
      <c r="E186" s="632"/>
      <c r="F186" s="632"/>
      <c r="G186" s="632"/>
      <c r="H186" s="632"/>
      <c r="I186" s="632"/>
      <c r="J186" s="632"/>
      <c r="K186" s="633"/>
    </row>
    <row r="187" spans="1:22" ht="15.75" thickBot="1">
      <c r="B187" s="343" t="str">
        <f>"Harga yang dipakai adalah "&amp;'HARGA SATUAN'!I5&amp;""</f>
        <v>Harga yang dipakai adalah RAB HSS 2023</v>
      </c>
      <c r="C187" s="344"/>
      <c r="D187" s="345"/>
      <c r="E187" s="345"/>
      <c r="F187" s="345"/>
      <c r="G187" s="346"/>
      <c r="H187" s="346"/>
      <c r="I187" s="346"/>
      <c r="J187" s="346"/>
      <c r="K187" s="347"/>
    </row>
    <row r="188" spans="1:22">
      <c r="C188" s="348"/>
      <c r="E188" s="350"/>
      <c r="F188" s="350"/>
      <c r="G188" s="350"/>
    </row>
    <row r="189" spans="1:22">
      <c r="C189" s="283"/>
      <c r="E189" s="350"/>
      <c r="F189" s="350"/>
      <c r="G189" s="350"/>
      <c r="H189" s="351"/>
      <c r="I189" s="623" t="s">
        <v>1644</v>
      </c>
      <c r="J189" s="623"/>
      <c r="K189" s="623"/>
    </row>
    <row r="190" spans="1:22">
      <c r="C190" s="283"/>
      <c r="E190" s="350"/>
      <c r="F190" s="350"/>
      <c r="G190" s="350"/>
      <c r="H190" s="351"/>
      <c r="I190" s="623" t="s">
        <v>1615</v>
      </c>
      <c r="J190" s="623"/>
      <c r="K190" s="623"/>
    </row>
    <row r="191" spans="1:22">
      <c r="C191" s="283"/>
      <c r="E191" s="350"/>
      <c r="F191" s="350"/>
      <c r="G191" s="350"/>
      <c r="H191" s="352"/>
      <c r="I191" s="353"/>
      <c r="J191" s="353"/>
      <c r="K191" s="353"/>
    </row>
    <row r="192" spans="1:22">
      <c r="C192" s="283"/>
      <c r="E192" s="350"/>
      <c r="F192" s="350"/>
      <c r="G192" s="350"/>
      <c r="H192" s="352"/>
      <c r="I192" s="352"/>
      <c r="J192" s="352"/>
      <c r="K192" s="352"/>
    </row>
    <row r="193" spans="3:11">
      <c r="C193" s="283"/>
      <c r="E193" s="350"/>
      <c r="F193" s="350"/>
      <c r="G193" s="350"/>
      <c r="H193" s="352"/>
      <c r="I193" s="352"/>
      <c r="J193" s="352"/>
      <c r="K193" s="352"/>
    </row>
    <row r="194" spans="3:11">
      <c r="C194" s="283"/>
      <c r="E194" s="350"/>
      <c r="F194" s="350"/>
      <c r="G194" s="350"/>
      <c r="H194" s="352"/>
      <c r="I194" s="352"/>
      <c r="J194" s="352"/>
      <c r="K194" s="352"/>
    </row>
    <row r="195" spans="3:11">
      <c r="C195" s="283"/>
      <c r="E195" s="350"/>
      <c r="F195" s="350"/>
      <c r="G195" s="350"/>
      <c r="H195" s="354"/>
      <c r="I195" s="623" t="s">
        <v>1616</v>
      </c>
      <c r="J195" s="623"/>
      <c r="K195" s="623"/>
    </row>
    <row r="196" spans="3:11">
      <c r="C196" s="348"/>
      <c r="E196" s="350"/>
      <c r="F196" s="350"/>
      <c r="G196" s="350"/>
      <c r="H196" s="352"/>
      <c r="I196" s="352"/>
      <c r="J196" s="352"/>
      <c r="K196" s="352"/>
    </row>
    <row r="197" spans="3:11">
      <c r="C197" s="348"/>
      <c r="E197" s="350"/>
      <c r="F197" s="350"/>
      <c r="G197" s="350"/>
      <c r="H197" s="352"/>
      <c r="I197" s="352"/>
      <c r="J197" s="352"/>
      <c r="K197" s="352"/>
    </row>
    <row r="198" spans="3:11">
      <c r="C198" s="348"/>
      <c r="E198" s="350"/>
      <c r="F198" s="350"/>
      <c r="G198" s="350"/>
      <c r="H198" s="352"/>
      <c r="I198" s="352"/>
      <c r="J198" s="352"/>
      <c r="K198" s="352"/>
    </row>
  </sheetData>
  <sheetProtection sort="0" autoFilter="0"/>
  <protectedRanges>
    <protectedRange sqref="B178" name="Range1_1"/>
    <protectedRange sqref="F14 F178:F179" name="Range1_1_2_2"/>
    <protectedRange sqref="C178" name="Range1_1_1"/>
    <protectedRange sqref="B18:C21 B169:C177 B165:B168 B14:B17 B28:C33 C17 B137:C164 B91:C131 B40:C81" name="Range1_6_1"/>
    <protectedRange sqref="B88:C90" name="Range1_6_1_1_1"/>
    <protectedRange sqref="C165:C168" name="Range1_1_2_1"/>
    <protectedRange sqref="B34:C39 B82:C87 B22:C27 B132:C137" name="Range1_6_1_2"/>
  </protectedRanges>
  <mergeCells count="21">
    <mergeCell ref="I190:K190"/>
    <mergeCell ref="I195:K195"/>
    <mergeCell ref="C184:F184"/>
    <mergeCell ref="G6:K6"/>
    <mergeCell ref="I189:K189"/>
    <mergeCell ref="C183:F183"/>
    <mergeCell ref="B185:K186"/>
    <mergeCell ref="H11:K11"/>
    <mergeCell ref="H12:H13"/>
    <mergeCell ref="J12:J13"/>
    <mergeCell ref="K12:K13"/>
    <mergeCell ref="O3:P4"/>
    <mergeCell ref="B4:K4"/>
    <mergeCell ref="C182:F182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C14:C16">
    <cfRule type="cellIs" dxfId="5" priority="39" operator="equal">
      <formula>0</formula>
    </cfRule>
  </conditionalFormatting>
  <conditionalFormatting sqref="C165:C168">
    <cfRule type="cellIs" dxfId="4" priority="41" operator="equal">
      <formula>0</formula>
    </cfRule>
  </conditionalFormatting>
  <conditionalFormatting sqref="C172">
    <cfRule type="cellIs" dxfId="3" priority="38" operator="equal">
      <formula>0</formula>
    </cfRule>
  </conditionalFormatting>
  <conditionalFormatting sqref="C176">
    <cfRule type="cellIs" dxfId="2" priority="37" operator="equal">
      <formula>0</formula>
    </cfRule>
  </conditionalFormatting>
  <conditionalFormatting sqref="E1:E3 E5:E13 H12:I12 O13 E180:G180 E181:F181 H180:K181 G181:G65645 E185:E65645 S14:V177 E14:K179">
    <cfRule type="cellIs" dxfId="1" priority="1083" stopIfTrue="1" operator="equal">
      <formula>0</formula>
    </cfRule>
  </conditionalFormatting>
  <conditionalFormatting sqref="G1:G13">
    <cfRule type="cellIs" dxfId="0" priority="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5 F15:F59 F63:F68 F70:F82 F87:F163 H14:K18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31496062992125984" bottom="0.19685039370078741" header="0.31496062992125984" footer="0.31496062992125984"/>
  <pageSetup paperSize="9" scale="52" fitToHeight="30" orientation="portrait" horizontalDpi="1200" verticalDpi="1200" r:id="rId1"/>
  <rowBreaks count="2" manualBreakCount="2">
    <brk id="87" max="10" man="1"/>
    <brk id="195" max="10" man="1"/>
  </rowBreaks>
  <ignoredErrors>
    <ignoredError sqref="K18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>
    <tabColor rgb="FF00B0F0"/>
    <pageSetUpPr fitToPage="1"/>
  </sheetPr>
  <dimension ref="C1:AG57"/>
  <sheetViews>
    <sheetView showGridLines="0" zoomScale="85" zoomScaleNormal="85" zoomScaleSheetLayoutView="100" workbookViewId="0">
      <selection activeCell="AC42" sqref="AC42"/>
    </sheetView>
  </sheetViews>
  <sheetFormatPr defaultColWidth="9.28515625" defaultRowHeight="12"/>
  <cols>
    <col min="1" max="2" width="1.42578125" style="420" customWidth="1"/>
    <col min="3" max="3" width="7.42578125" style="420" customWidth="1"/>
    <col min="4" max="23" width="5.7109375" style="420" customWidth="1"/>
    <col min="24" max="24" width="16.28515625" style="420" customWidth="1"/>
    <col min="25" max="25" width="6.5703125" style="420" customWidth="1"/>
    <col min="26" max="26" width="6.42578125" style="420" customWidth="1"/>
    <col min="27" max="30" width="5.7109375" style="420" customWidth="1"/>
    <col min="31" max="31" width="0.85546875" style="420" customWidth="1"/>
    <col min="32" max="118" width="5.7109375" style="420" customWidth="1"/>
    <col min="119" max="16384" width="9.28515625" style="420"/>
  </cols>
  <sheetData>
    <row r="1" spans="3:30" ht="12.75" thickBot="1"/>
    <row r="2" spans="3:30" ht="12.75" customHeight="1">
      <c r="C2" s="503" t="s">
        <v>1649</v>
      </c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  <c r="R2" s="421"/>
      <c r="S2" s="421"/>
      <c r="T2" s="421"/>
      <c r="U2" s="421"/>
      <c r="V2" s="421"/>
      <c r="W2" s="636" t="s">
        <v>1438</v>
      </c>
      <c r="X2" s="637"/>
      <c r="Y2" s="637"/>
      <c r="Z2" s="637"/>
      <c r="AA2" s="637"/>
      <c r="AB2" s="637"/>
      <c r="AC2" s="637"/>
      <c r="AD2" s="638"/>
    </row>
    <row r="3" spans="3:30">
      <c r="C3" s="422"/>
      <c r="W3" s="639"/>
      <c r="X3" s="640"/>
      <c r="Y3" s="640"/>
      <c r="Z3" s="640"/>
      <c r="AA3" s="640"/>
      <c r="AB3" s="640"/>
      <c r="AC3" s="640"/>
      <c r="AD3" s="641"/>
    </row>
    <row r="4" spans="3:30">
      <c r="C4" s="422"/>
      <c r="G4" s="423"/>
      <c r="W4" s="424" t="s">
        <v>987</v>
      </c>
      <c r="AD4" s="425"/>
    </row>
    <row r="5" spans="3:30">
      <c r="C5" s="422"/>
      <c r="W5" s="426" t="s">
        <v>991</v>
      </c>
      <c r="X5" s="642" t="s">
        <v>990</v>
      </c>
      <c r="Y5" s="642"/>
      <c r="Z5" s="642"/>
      <c r="AA5" s="642" t="s">
        <v>988</v>
      </c>
      <c r="AB5" s="642"/>
      <c r="AC5" s="642" t="s">
        <v>989</v>
      </c>
      <c r="AD5" s="643"/>
    </row>
    <row r="6" spans="3:30">
      <c r="C6" s="422"/>
      <c r="W6" s="426">
        <v>1</v>
      </c>
      <c r="X6" s="642" t="s">
        <v>993</v>
      </c>
      <c r="Y6" s="642"/>
      <c r="Z6" s="642"/>
      <c r="AA6" s="642"/>
      <c r="AB6" s="642"/>
      <c r="AC6" s="642"/>
      <c r="AD6" s="643"/>
    </row>
    <row r="7" spans="3:30">
      <c r="C7" s="422"/>
      <c r="W7" s="426">
        <v>2</v>
      </c>
      <c r="X7" s="642" t="s">
        <v>994</v>
      </c>
      <c r="Y7" s="642"/>
      <c r="Z7" s="642"/>
      <c r="AA7" s="642"/>
      <c r="AB7" s="642"/>
      <c r="AC7" s="642"/>
      <c r="AD7" s="643"/>
    </row>
    <row r="8" spans="3:30">
      <c r="C8" s="422"/>
      <c r="W8" s="426">
        <v>3</v>
      </c>
      <c r="X8" s="642" t="s">
        <v>995</v>
      </c>
      <c r="Y8" s="642"/>
      <c r="Z8" s="642"/>
      <c r="AA8" s="642"/>
      <c r="AB8" s="642"/>
      <c r="AC8" s="642"/>
      <c r="AD8" s="643"/>
    </row>
    <row r="9" spans="3:30">
      <c r="C9" s="422"/>
      <c r="W9" s="426">
        <v>4</v>
      </c>
      <c r="X9" s="642" t="s">
        <v>996</v>
      </c>
      <c r="Y9" s="642"/>
      <c r="Z9" s="642"/>
      <c r="AA9" s="642"/>
      <c r="AB9" s="642"/>
      <c r="AC9" s="642"/>
      <c r="AD9" s="643"/>
    </row>
    <row r="10" spans="3:30">
      <c r="C10" s="422"/>
      <c r="W10" s="426">
        <v>5</v>
      </c>
      <c r="X10" s="642" t="s">
        <v>997</v>
      </c>
      <c r="Y10" s="642"/>
      <c r="Z10" s="642"/>
      <c r="AA10" s="642"/>
      <c r="AB10" s="642"/>
      <c r="AC10" s="642"/>
      <c r="AD10" s="643"/>
    </row>
    <row r="11" spans="3:30">
      <c r="C11" s="422"/>
      <c r="W11" s="426">
        <v>6</v>
      </c>
      <c r="X11" s="642" t="s">
        <v>998</v>
      </c>
      <c r="Y11" s="642"/>
      <c r="Z11" s="642"/>
      <c r="AA11" s="642"/>
      <c r="AB11" s="642"/>
      <c r="AC11" s="642"/>
      <c r="AD11" s="643"/>
    </row>
    <row r="12" spans="3:30">
      <c r="C12" s="422"/>
      <c r="W12" s="426">
        <v>7</v>
      </c>
      <c r="X12" s="642" t="s">
        <v>999</v>
      </c>
      <c r="Y12" s="642"/>
      <c r="Z12" s="642"/>
      <c r="AA12" s="642"/>
      <c r="AB12" s="642"/>
      <c r="AC12" s="642"/>
      <c r="AD12" s="643"/>
    </row>
    <row r="13" spans="3:30" ht="12.75" customHeight="1">
      <c r="C13" s="422"/>
      <c r="W13" s="426">
        <v>8</v>
      </c>
      <c r="X13" s="642" t="s">
        <v>1000</v>
      </c>
      <c r="Y13" s="642"/>
      <c r="Z13" s="642"/>
      <c r="AA13" s="642"/>
      <c r="AB13" s="642"/>
      <c r="AC13" s="642"/>
      <c r="AD13" s="643"/>
    </row>
    <row r="14" spans="3:30">
      <c r="C14" s="422"/>
      <c r="W14" s="426">
        <v>9</v>
      </c>
      <c r="X14" s="642" t="s">
        <v>1001</v>
      </c>
      <c r="Y14" s="642"/>
      <c r="Z14" s="642"/>
      <c r="AA14" s="642"/>
      <c r="AB14" s="642"/>
      <c r="AC14" s="642"/>
      <c r="AD14" s="643"/>
    </row>
    <row r="15" spans="3:30">
      <c r="C15" s="422"/>
      <c r="W15" s="426">
        <v>10</v>
      </c>
      <c r="X15" s="642" t="s">
        <v>1010</v>
      </c>
      <c r="Y15" s="642"/>
      <c r="Z15" s="642"/>
      <c r="AA15" s="642"/>
      <c r="AB15" s="642"/>
      <c r="AC15" s="642"/>
      <c r="AD15" s="643"/>
    </row>
    <row r="16" spans="3:30">
      <c r="C16" s="422"/>
      <c r="W16" s="426">
        <v>11</v>
      </c>
      <c r="X16" s="642" t="s">
        <v>1454</v>
      </c>
      <c r="Y16" s="642"/>
      <c r="Z16" s="642"/>
      <c r="AA16" s="642"/>
      <c r="AB16" s="642"/>
      <c r="AC16" s="642"/>
      <c r="AD16" s="643"/>
    </row>
    <row r="17" spans="3:30">
      <c r="C17" s="422"/>
      <c r="S17" s="428"/>
      <c r="W17" s="426">
        <v>12</v>
      </c>
      <c r="X17" s="642" t="s">
        <v>1011</v>
      </c>
      <c r="Y17" s="642"/>
      <c r="Z17" s="642"/>
      <c r="AA17" s="642"/>
      <c r="AB17" s="642"/>
      <c r="AC17" s="642"/>
      <c r="AD17" s="643"/>
    </row>
    <row r="18" spans="3:30">
      <c r="C18" s="429"/>
      <c r="D18" s="430"/>
      <c r="E18" s="430"/>
      <c r="W18" s="426">
        <v>13</v>
      </c>
      <c r="X18" s="642"/>
      <c r="Y18" s="642"/>
      <c r="Z18" s="642"/>
      <c r="AA18" s="642"/>
      <c r="AB18" s="642"/>
      <c r="AC18" s="642"/>
      <c r="AD18" s="643"/>
    </row>
    <row r="19" spans="3:30">
      <c r="C19" s="422"/>
      <c r="W19" s="431"/>
      <c r="X19" s="644"/>
      <c r="Y19" s="644"/>
      <c r="Z19" s="644"/>
      <c r="AA19" s="644"/>
      <c r="AB19" s="644"/>
      <c r="AC19" s="644"/>
      <c r="AD19" s="645"/>
    </row>
    <row r="20" spans="3:30">
      <c r="C20" s="422"/>
      <c r="Q20" s="432"/>
      <c r="W20" s="646" t="s">
        <v>992</v>
      </c>
      <c r="X20" s="647"/>
      <c r="Y20" s="647"/>
      <c r="Z20" s="647"/>
      <c r="AA20" s="647"/>
      <c r="AB20" s="647"/>
      <c r="AC20" s="647"/>
      <c r="AD20" s="648"/>
    </row>
    <row r="21" spans="3:30">
      <c r="C21" s="422"/>
      <c r="W21" s="649" t="s">
        <v>985</v>
      </c>
      <c r="X21" s="650"/>
      <c r="Y21" s="650"/>
      <c r="Z21" s="651"/>
      <c r="AA21" s="652" t="s">
        <v>986</v>
      </c>
      <c r="AB21" s="653"/>
      <c r="AC21" s="653"/>
      <c r="AD21" s="654"/>
    </row>
    <row r="22" spans="3:30">
      <c r="C22" s="422"/>
      <c r="S22" s="433"/>
      <c r="W22" s="504" t="s">
        <v>1638</v>
      </c>
      <c r="X22" s="505"/>
      <c r="Y22" s="508">
        <v>1</v>
      </c>
      <c r="Z22" s="435" t="s">
        <v>100</v>
      </c>
      <c r="AA22" s="436"/>
      <c r="AB22" s="437"/>
      <c r="AC22" s="438"/>
      <c r="AD22" s="439"/>
    </row>
    <row r="23" spans="3:30">
      <c r="C23" s="422"/>
      <c r="W23" s="504" t="s">
        <v>1640</v>
      </c>
      <c r="X23" s="505"/>
      <c r="Y23" s="508">
        <v>5</v>
      </c>
      <c r="Z23" s="435" t="s">
        <v>100</v>
      </c>
      <c r="AA23" s="436"/>
      <c r="AB23" s="437"/>
      <c r="AC23" s="438"/>
      <c r="AD23" s="439"/>
    </row>
    <row r="24" spans="3:30">
      <c r="C24" s="422"/>
      <c r="W24" s="504" t="s">
        <v>1619</v>
      </c>
      <c r="X24" s="505"/>
      <c r="Y24" s="508">
        <v>2</v>
      </c>
      <c r="Z24" s="435" t="s">
        <v>100</v>
      </c>
      <c r="AA24" s="436"/>
      <c r="AB24" s="437"/>
      <c r="AC24" s="438"/>
      <c r="AD24" s="439"/>
    </row>
    <row r="25" spans="3:30">
      <c r="C25" s="422"/>
      <c r="W25" s="504" t="s">
        <v>1618</v>
      </c>
      <c r="X25" s="505"/>
      <c r="Y25" s="508">
        <v>2</v>
      </c>
      <c r="Z25" s="435" t="s">
        <v>1058</v>
      </c>
      <c r="AA25" s="436"/>
      <c r="AB25" s="437"/>
      <c r="AC25" s="438"/>
      <c r="AD25" s="439"/>
    </row>
    <row r="26" spans="3:30">
      <c r="C26" s="422"/>
      <c r="W26" s="504" t="s">
        <v>1639</v>
      </c>
      <c r="X26" s="505"/>
      <c r="Y26" s="508">
        <v>2</v>
      </c>
      <c r="Z26" s="435" t="s">
        <v>1058</v>
      </c>
      <c r="AA26" s="436"/>
      <c r="AB26" s="437"/>
      <c r="AC26" s="438"/>
      <c r="AD26" s="439"/>
    </row>
    <row r="27" spans="3:30">
      <c r="C27" s="422"/>
      <c r="W27" s="504" t="s">
        <v>1641</v>
      </c>
      <c r="X27" s="505"/>
      <c r="Y27" s="508">
        <v>2</v>
      </c>
      <c r="Z27" s="435" t="s">
        <v>1058</v>
      </c>
      <c r="AA27" s="436"/>
      <c r="AB27" s="437"/>
      <c r="AC27" s="438"/>
      <c r="AD27" s="439"/>
    </row>
    <row r="28" spans="3:30">
      <c r="C28" s="422"/>
      <c r="W28" s="504" t="s">
        <v>1642</v>
      </c>
      <c r="X28" s="505"/>
      <c r="Y28" s="508">
        <v>2</v>
      </c>
      <c r="Z28" s="435" t="s">
        <v>1058</v>
      </c>
      <c r="AA28" s="655"/>
      <c r="AB28" s="656"/>
      <c r="AC28" s="438"/>
      <c r="AD28" s="439"/>
    </row>
    <row r="29" spans="3:30">
      <c r="C29" s="422"/>
      <c r="W29" s="504" t="s">
        <v>1623</v>
      </c>
      <c r="X29" s="505"/>
      <c r="Y29" s="508">
        <v>1</v>
      </c>
      <c r="Z29" s="435" t="s">
        <v>1058</v>
      </c>
      <c r="AA29" s="436"/>
      <c r="AB29" s="437"/>
      <c r="AC29" s="438"/>
      <c r="AD29" s="439"/>
    </row>
    <row r="30" spans="3:30" ht="11.25" customHeight="1">
      <c r="C30" s="422"/>
      <c r="W30" s="504" t="s">
        <v>1628</v>
      </c>
      <c r="X30" s="505"/>
      <c r="Y30" s="508">
        <v>2</v>
      </c>
      <c r="Z30" s="435" t="s">
        <v>1058</v>
      </c>
      <c r="AA30" s="655"/>
      <c r="AB30" s="656"/>
      <c r="AC30" s="438"/>
      <c r="AD30" s="439"/>
    </row>
    <row r="31" spans="3:30">
      <c r="C31" s="422"/>
      <c r="U31" s="442"/>
      <c r="W31" s="504" t="s">
        <v>1625</v>
      </c>
      <c r="X31" s="505"/>
      <c r="Y31" s="434">
        <v>1</v>
      </c>
      <c r="Z31" s="435" t="s">
        <v>1058</v>
      </c>
      <c r="AA31" s="655"/>
      <c r="AB31" s="656"/>
      <c r="AC31" s="438"/>
      <c r="AD31" s="439"/>
    </row>
    <row r="32" spans="3:30">
      <c r="C32" s="422"/>
      <c r="U32" s="442"/>
      <c r="W32" s="440" t="s">
        <v>1626</v>
      </c>
      <c r="X32" s="441"/>
      <c r="Y32" s="434">
        <v>2</v>
      </c>
      <c r="Z32" s="435" t="s">
        <v>1058</v>
      </c>
      <c r="AA32" s="655"/>
      <c r="AB32" s="656"/>
      <c r="AC32" s="438"/>
      <c r="AD32" s="439"/>
    </row>
    <row r="33" spans="3:33">
      <c r="C33" s="422"/>
      <c r="U33" s="442"/>
      <c r="W33" s="440" t="s">
        <v>1624</v>
      </c>
      <c r="X33" s="441"/>
      <c r="Y33" s="434">
        <v>8</v>
      </c>
      <c r="Z33" s="435" t="s">
        <v>1058</v>
      </c>
      <c r="AA33" s="436"/>
      <c r="AB33" s="437"/>
      <c r="AC33" s="438"/>
      <c r="AD33" s="439"/>
    </row>
    <row r="34" spans="3:33">
      <c r="C34" s="422"/>
      <c r="W34" s="440" t="s">
        <v>1620</v>
      </c>
      <c r="X34" s="441"/>
      <c r="Y34" s="434">
        <v>6</v>
      </c>
      <c r="Z34" s="435" t="s">
        <v>1058</v>
      </c>
      <c r="AA34" s="655"/>
      <c r="AB34" s="656"/>
      <c r="AC34" s="438"/>
      <c r="AD34" s="439"/>
    </row>
    <row r="35" spans="3:33">
      <c r="C35" s="422"/>
      <c r="Q35" s="420" t="s">
        <v>1608</v>
      </c>
      <c r="W35" s="440" t="s">
        <v>1621</v>
      </c>
      <c r="X35" s="441"/>
      <c r="Y35" s="434">
        <v>6</v>
      </c>
      <c r="Z35" s="435" t="s">
        <v>1058</v>
      </c>
      <c r="AA35" s="655"/>
      <c r="AB35" s="656"/>
      <c r="AC35" s="438"/>
      <c r="AD35" s="439"/>
    </row>
    <row r="36" spans="3:33">
      <c r="C36" s="422"/>
      <c r="W36" s="440" t="s">
        <v>1622</v>
      </c>
      <c r="X36" s="441"/>
      <c r="Y36" s="434">
        <v>6</v>
      </c>
      <c r="Z36" s="435" t="s">
        <v>1058</v>
      </c>
      <c r="AA36" s="655"/>
      <c r="AB36" s="656"/>
      <c r="AC36" s="438"/>
      <c r="AD36" s="439"/>
    </row>
    <row r="37" spans="3:33">
      <c r="C37" s="422"/>
      <c r="I37" s="430"/>
      <c r="W37" s="440" t="s">
        <v>1629</v>
      </c>
      <c r="X37" s="441"/>
      <c r="Y37" s="434">
        <f>6*45*2</f>
        <v>540</v>
      </c>
      <c r="Z37" s="435" t="s">
        <v>7</v>
      </c>
      <c r="AA37" s="655"/>
      <c r="AB37" s="656"/>
      <c r="AC37" s="438"/>
      <c r="AD37" s="439"/>
    </row>
    <row r="38" spans="3:33" ht="12.75" customHeight="1">
      <c r="C38" s="422"/>
      <c r="W38" s="440" t="s">
        <v>1630</v>
      </c>
      <c r="X38" s="441"/>
      <c r="Y38" s="434">
        <v>80</v>
      </c>
      <c r="Z38" s="435" t="s">
        <v>7</v>
      </c>
      <c r="AA38" s="657"/>
      <c r="AB38" s="658"/>
      <c r="AC38" s="438"/>
      <c r="AD38" s="444"/>
    </row>
    <row r="39" spans="3:33" ht="12.75" customHeight="1">
      <c r="C39" s="422"/>
      <c r="W39" s="440"/>
      <c r="X39" s="441"/>
      <c r="Y39" s="434"/>
      <c r="Z39" s="435"/>
      <c r="AA39" s="659"/>
      <c r="AB39" s="660"/>
      <c r="AC39" s="438"/>
      <c r="AD39" s="444"/>
    </row>
    <row r="40" spans="3:33" ht="12" customHeight="1">
      <c r="C40" s="422"/>
      <c r="W40" s="440"/>
      <c r="X40" s="441"/>
      <c r="Y40" s="434"/>
      <c r="Z40" s="435"/>
      <c r="AA40" s="659"/>
      <c r="AB40" s="660"/>
      <c r="AC40" s="438"/>
      <c r="AD40" s="444"/>
      <c r="AG40" s="451"/>
    </row>
    <row r="41" spans="3:33" ht="12" customHeight="1">
      <c r="C41" s="422"/>
      <c r="W41" s="440"/>
      <c r="X41" s="441"/>
      <c r="Y41" s="434"/>
      <c r="Z41" s="435"/>
      <c r="AA41" s="659"/>
      <c r="AB41" s="660"/>
      <c r="AC41" s="445"/>
      <c r="AD41" s="446"/>
    </row>
    <row r="42" spans="3:33" ht="12" customHeight="1">
      <c r="C42" s="422"/>
      <c r="W42" s="440"/>
      <c r="X42" s="441"/>
      <c r="Y42" s="434"/>
      <c r="Z42" s="435"/>
      <c r="AA42" s="659"/>
      <c r="AB42" s="660"/>
      <c r="AC42" s="445"/>
      <c r="AD42" s="446"/>
    </row>
    <row r="43" spans="3:33" ht="12" customHeight="1">
      <c r="C43" s="422"/>
      <c r="W43" s="440"/>
      <c r="X43" s="443"/>
      <c r="Y43" s="434"/>
      <c r="Z43" s="435"/>
      <c r="AA43" s="659"/>
      <c r="AB43" s="660"/>
      <c r="AC43" s="445"/>
      <c r="AD43" s="446"/>
    </row>
    <row r="44" spans="3:33" ht="12" customHeight="1">
      <c r="C44" s="422"/>
      <c r="V44" s="447"/>
      <c r="W44" s="663" t="s">
        <v>1617</v>
      </c>
      <c r="X44" s="664"/>
      <c r="Y44" s="664"/>
      <c r="Z44" s="664"/>
      <c r="AA44" s="664"/>
      <c r="AB44" s="664"/>
      <c r="AC44" s="664"/>
      <c r="AD44" s="665"/>
    </row>
    <row r="45" spans="3:33">
      <c r="C45" s="448"/>
      <c r="D45" s="449"/>
      <c r="E45" s="449"/>
      <c r="F45" s="449"/>
      <c r="G45" s="449"/>
      <c r="H45" s="449"/>
      <c r="I45" s="449"/>
      <c r="N45" s="449"/>
      <c r="O45" s="449"/>
      <c r="P45" s="449"/>
      <c r="Q45" s="449"/>
      <c r="R45" s="449"/>
      <c r="S45" s="449"/>
      <c r="T45" s="449"/>
      <c r="U45" s="449"/>
      <c r="V45" s="447"/>
      <c r="W45" s="666"/>
      <c r="X45" s="667"/>
      <c r="Y45" s="667"/>
      <c r="Z45" s="667"/>
      <c r="AA45" s="667"/>
      <c r="AB45" s="667"/>
      <c r="AC45" s="667"/>
      <c r="AD45" s="668"/>
    </row>
    <row r="46" spans="3:33">
      <c r="C46" s="448"/>
      <c r="D46" s="449"/>
      <c r="E46" s="449"/>
      <c r="F46" s="449"/>
      <c r="G46" s="449"/>
      <c r="H46" s="449"/>
      <c r="I46" s="449"/>
      <c r="N46" s="449"/>
      <c r="O46" s="449"/>
      <c r="P46" s="449"/>
      <c r="Q46" s="449"/>
      <c r="R46" s="449"/>
      <c r="S46" s="449"/>
      <c r="T46" s="449"/>
      <c r="U46" s="449"/>
      <c r="V46" s="447"/>
      <c r="W46" s="661" t="s">
        <v>11</v>
      </c>
      <c r="X46" s="662"/>
      <c r="Y46" s="642"/>
      <c r="Z46" s="642"/>
      <c r="AA46" s="642"/>
      <c r="AB46" s="642"/>
      <c r="AC46" s="642"/>
      <c r="AD46" s="643"/>
    </row>
    <row r="47" spans="3:33">
      <c r="C47" s="448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7"/>
      <c r="W47" s="661" t="s">
        <v>984</v>
      </c>
      <c r="X47" s="662"/>
      <c r="Y47" s="642">
        <v>1</v>
      </c>
      <c r="Z47" s="642"/>
      <c r="AA47" s="642"/>
      <c r="AB47" s="642" t="s">
        <v>12</v>
      </c>
      <c r="AC47" s="642"/>
      <c r="AD47" s="427" t="s">
        <v>13</v>
      </c>
    </row>
    <row r="48" spans="3:33">
      <c r="C48" s="448"/>
      <c r="D48" s="449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7"/>
      <c r="W48" s="661" t="s">
        <v>15</v>
      </c>
      <c r="X48" s="662"/>
      <c r="Y48" s="675"/>
      <c r="Z48" s="675"/>
      <c r="AA48" s="675"/>
      <c r="AB48" s="642" t="s">
        <v>16</v>
      </c>
      <c r="AC48" s="642"/>
      <c r="AD48" s="450"/>
    </row>
    <row r="49" spans="3:30" ht="12.75" customHeight="1">
      <c r="C49" s="448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R49" s="449"/>
      <c r="S49" s="449"/>
      <c r="T49" s="449"/>
      <c r="U49" s="449"/>
      <c r="V49" s="447"/>
      <c r="W49" s="676" t="s">
        <v>17</v>
      </c>
      <c r="X49" s="676"/>
      <c r="Y49" s="676"/>
      <c r="Z49" s="676"/>
      <c r="AA49" s="676"/>
      <c r="AB49" s="676"/>
      <c r="AC49" s="676"/>
      <c r="AD49" s="677"/>
    </row>
    <row r="50" spans="3:30">
      <c r="C50" s="448"/>
      <c r="D50" s="451"/>
      <c r="E50" s="449"/>
      <c r="F50" s="449"/>
      <c r="G50" s="449"/>
      <c r="I50" s="449"/>
      <c r="J50" s="449"/>
      <c r="K50" s="449"/>
      <c r="L50" s="449"/>
      <c r="M50" s="449"/>
      <c r="R50" s="449"/>
      <c r="S50" s="449"/>
      <c r="T50" s="449"/>
      <c r="U50" s="449"/>
      <c r="V50" s="452"/>
      <c r="W50" s="678" t="str">
        <f>RAB!G6</f>
        <v>PERUMAHAN CEMARA SAE RESIDENCE</v>
      </c>
      <c r="X50" s="678"/>
      <c r="Y50" s="678"/>
      <c r="Z50" s="678"/>
      <c r="AA50" s="678"/>
      <c r="AB50" s="678"/>
      <c r="AC50" s="678"/>
      <c r="AD50" s="679"/>
    </row>
    <row r="51" spans="3:30">
      <c r="C51" s="448"/>
      <c r="D51" s="453"/>
      <c r="E51" s="453"/>
      <c r="F51" s="453"/>
      <c r="G51" s="453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52"/>
      <c r="W51" s="678"/>
      <c r="X51" s="678"/>
      <c r="Y51" s="678"/>
      <c r="Z51" s="678"/>
      <c r="AA51" s="678"/>
      <c r="AB51" s="678"/>
      <c r="AC51" s="678"/>
      <c r="AD51" s="679"/>
    </row>
    <row r="52" spans="3:30" ht="19.5" customHeight="1">
      <c r="C52" s="448"/>
      <c r="D52" s="453"/>
      <c r="E52" s="453"/>
      <c r="F52" s="453"/>
      <c r="G52" s="453"/>
      <c r="I52" s="449"/>
      <c r="J52" s="449"/>
      <c r="K52" s="449"/>
      <c r="L52" s="449"/>
      <c r="M52" s="449"/>
      <c r="N52" s="449"/>
      <c r="O52" s="449"/>
      <c r="P52" s="449"/>
      <c r="Q52" s="449"/>
      <c r="R52" s="449"/>
      <c r="S52" s="449"/>
      <c r="T52" s="449"/>
      <c r="U52" s="449"/>
      <c r="V52" s="452"/>
      <c r="W52" s="678"/>
      <c r="X52" s="678"/>
      <c r="Y52" s="678"/>
      <c r="Z52" s="678"/>
      <c r="AA52" s="678"/>
      <c r="AB52" s="678"/>
      <c r="AC52" s="678"/>
      <c r="AD52" s="679"/>
    </row>
    <row r="53" spans="3:30">
      <c r="C53" s="448"/>
      <c r="D53" s="454"/>
      <c r="E53" s="454"/>
      <c r="F53" s="454"/>
      <c r="G53" s="454"/>
      <c r="I53" s="449"/>
      <c r="J53" s="449"/>
      <c r="K53" s="449"/>
      <c r="L53" s="418"/>
      <c r="M53" s="449"/>
      <c r="N53" s="449"/>
      <c r="O53" s="449"/>
      <c r="P53" s="449"/>
      <c r="Q53" s="449"/>
      <c r="R53" s="449"/>
      <c r="S53" s="449"/>
      <c r="T53" s="449"/>
      <c r="U53" s="449"/>
      <c r="V53" s="447"/>
      <c r="W53" s="680"/>
      <c r="X53" s="680"/>
      <c r="Y53" s="680"/>
      <c r="Z53" s="680"/>
      <c r="AA53" s="680"/>
      <c r="AB53" s="680"/>
      <c r="AC53" s="680"/>
      <c r="AD53" s="681"/>
    </row>
    <row r="54" spans="3:30">
      <c r="C54" s="448"/>
      <c r="D54" s="453"/>
      <c r="E54" s="453"/>
      <c r="F54" s="453"/>
      <c r="G54" s="453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49"/>
      <c r="V54" s="447"/>
      <c r="W54" s="674" t="s">
        <v>18</v>
      </c>
      <c r="X54" s="662"/>
      <c r="Y54" s="674" t="s">
        <v>1609</v>
      </c>
      <c r="Z54" s="661"/>
      <c r="AA54" s="662"/>
      <c r="AB54" s="642"/>
      <c r="AC54" s="642"/>
      <c r="AD54" s="643"/>
    </row>
    <row r="55" spans="3:30">
      <c r="C55" s="448"/>
      <c r="D55" s="453"/>
      <c r="E55" s="453"/>
      <c r="F55" s="453"/>
      <c r="G55" s="453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V55" s="447"/>
      <c r="W55" s="674" t="s">
        <v>19</v>
      </c>
      <c r="X55" s="662"/>
      <c r="Y55" s="674" t="s">
        <v>1610</v>
      </c>
      <c r="Z55" s="661"/>
      <c r="AA55" s="662"/>
      <c r="AB55" s="642"/>
      <c r="AC55" s="642"/>
      <c r="AD55" s="643"/>
    </row>
    <row r="56" spans="3:30">
      <c r="C56" s="448"/>
      <c r="D56" s="419"/>
      <c r="E56" s="419"/>
      <c r="F56" s="419"/>
      <c r="G56" s="41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V56" s="447"/>
      <c r="W56" s="674" t="s">
        <v>20</v>
      </c>
      <c r="X56" s="662"/>
      <c r="Y56" s="674" t="s">
        <v>1647</v>
      </c>
      <c r="Z56" s="661"/>
      <c r="AA56" s="662"/>
      <c r="AB56" s="642"/>
      <c r="AC56" s="642"/>
      <c r="AD56" s="643"/>
    </row>
    <row r="57" spans="3:30" ht="12.75" thickBot="1">
      <c r="C57" s="455"/>
      <c r="D57" s="456"/>
      <c r="E57" s="456"/>
      <c r="F57" s="456"/>
      <c r="G57" s="456"/>
      <c r="H57" s="456"/>
      <c r="I57" s="456"/>
      <c r="J57" s="456"/>
      <c r="K57" s="456"/>
      <c r="L57" s="456"/>
      <c r="M57" s="456"/>
      <c r="N57" s="456"/>
      <c r="O57" s="456"/>
      <c r="P57" s="456"/>
      <c r="Q57" s="456"/>
      <c r="R57" s="456"/>
      <c r="S57" s="456"/>
      <c r="T57" s="456"/>
      <c r="U57" s="457"/>
      <c r="V57" s="458"/>
      <c r="W57" s="669" t="s">
        <v>21</v>
      </c>
      <c r="X57" s="670"/>
      <c r="Y57" s="669" t="s">
        <v>1648</v>
      </c>
      <c r="Z57" s="671"/>
      <c r="AA57" s="670"/>
      <c r="AB57" s="672"/>
      <c r="AC57" s="672"/>
      <c r="AD57" s="673"/>
    </row>
  </sheetData>
  <mergeCells count="86">
    <mergeCell ref="Y48:AA48"/>
    <mergeCell ref="AB48:AC48"/>
    <mergeCell ref="W48:X48"/>
    <mergeCell ref="W54:X54"/>
    <mergeCell ref="Y54:AA54"/>
    <mergeCell ref="AB54:AD54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28:AB28"/>
    <mergeCell ref="AA30:AB30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0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zoomScale="70" zoomScaleNormal="40" zoomScaleSheetLayoutView="70" workbookViewId="0">
      <selection activeCell="D6" sqref="D6:G7"/>
    </sheetView>
  </sheetViews>
  <sheetFormatPr defaultColWidth="9.28515625" defaultRowHeight="12.75"/>
  <cols>
    <col min="1" max="1" width="1.7109375" style="459" customWidth="1"/>
    <col min="2" max="2" width="10.7109375" style="459" customWidth="1"/>
    <col min="3" max="3" width="2.5703125" style="459" customWidth="1"/>
    <col min="4" max="20" width="9.28515625" style="459"/>
    <col min="21" max="21" width="14.5703125" style="459" customWidth="1"/>
    <col min="22" max="22" width="3.140625" style="459" customWidth="1"/>
    <col min="23" max="26" width="9.28515625" style="459"/>
    <col min="27" max="27" width="2.7109375" style="459" customWidth="1"/>
    <col min="28" max="30" width="4.7109375" style="459" customWidth="1"/>
    <col min="31" max="31" width="1.7109375" style="459" customWidth="1"/>
    <col min="32" max="16384" width="9.28515625" style="459"/>
  </cols>
  <sheetData>
    <row r="1" spans="2:31" ht="13.5" thickBot="1"/>
    <row r="2" spans="2:31" ht="13.5" thickBot="1">
      <c r="B2" s="460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1"/>
      <c r="X2" s="461"/>
      <c r="Y2" s="461"/>
      <c r="Z2" s="461"/>
      <c r="AA2" s="461"/>
      <c r="AB2" s="461"/>
      <c r="AC2" s="461"/>
      <c r="AD2" s="462"/>
      <c r="AE2" s="463"/>
    </row>
    <row r="3" spans="2:31" ht="12.75" customHeight="1" thickTop="1">
      <c r="B3" s="464"/>
      <c r="C3" s="682" t="str">
        <f>"PETA LOKASI "&amp;RAB!G6</f>
        <v>PETA LOKASI PERUMAHAN CEMARA SAE RESIDENCE</v>
      </c>
      <c r="D3" s="683"/>
      <c r="E3" s="683"/>
      <c r="F3" s="683"/>
      <c r="G3" s="683"/>
      <c r="H3" s="683"/>
      <c r="I3" s="683"/>
      <c r="J3" s="683"/>
      <c r="K3" s="683"/>
      <c r="L3" s="683"/>
      <c r="M3" s="683"/>
      <c r="N3" s="683"/>
      <c r="O3" s="683"/>
      <c r="P3" s="683"/>
      <c r="Q3" s="683"/>
      <c r="R3" s="683"/>
      <c r="S3" s="683"/>
      <c r="T3" s="683"/>
      <c r="U3" s="683"/>
      <c r="V3" s="683"/>
      <c r="W3" s="683"/>
      <c r="X3" s="683"/>
      <c r="Y3" s="683"/>
      <c r="Z3" s="683"/>
      <c r="AA3" s="683"/>
      <c r="AB3" s="684"/>
      <c r="AC3" s="465"/>
      <c r="AD3" s="463"/>
      <c r="AE3" s="463"/>
    </row>
    <row r="4" spans="2:31" ht="13.5" customHeight="1" thickBot="1">
      <c r="B4" s="464"/>
      <c r="C4" s="685"/>
      <c r="D4" s="686"/>
      <c r="E4" s="686"/>
      <c r="F4" s="686"/>
      <c r="G4" s="686"/>
      <c r="H4" s="686"/>
      <c r="I4" s="686"/>
      <c r="J4" s="686"/>
      <c r="K4" s="686"/>
      <c r="L4" s="686"/>
      <c r="M4" s="686"/>
      <c r="N4" s="686"/>
      <c r="O4" s="686"/>
      <c r="P4" s="686"/>
      <c r="Q4" s="686"/>
      <c r="R4" s="686"/>
      <c r="S4" s="686"/>
      <c r="T4" s="686"/>
      <c r="U4" s="686"/>
      <c r="V4" s="686"/>
      <c r="W4" s="686"/>
      <c r="X4" s="686"/>
      <c r="Y4" s="686"/>
      <c r="Z4" s="686"/>
      <c r="AA4" s="686"/>
      <c r="AB4" s="687"/>
      <c r="AC4" s="465"/>
      <c r="AD4" s="463"/>
      <c r="AE4" s="463"/>
    </row>
    <row r="5" spans="2:31" ht="12.75" customHeight="1" thickTop="1">
      <c r="B5" s="464"/>
      <c r="C5" s="466"/>
      <c r="AD5" s="463"/>
      <c r="AE5" s="463"/>
    </row>
    <row r="6" spans="2:31" ht="12.75" customHeight="1">
      <c r="B6" s="464"/>
      <c r="D6" s="694" t="s">
        <v>1649</v>
      </c>
      <c r="E6" s="694"/>
      <c r="F6" s="694"/>
      <c r="G6" s="694"/>
      <c r="Y6" s="467"/>
      <c r="Z6" s="467"/>
      <c r="AA6" s="467"/>
      <c r="AB6" s="468"/>
      <c r="AC6" s="468"/>
      <c r="AD6" s="463"/>
      <c r="AE6" s="463"/>
    </row>
    <row r="7" spans="2:31" ht="12.75" customHeight="1">
      <c r="B7" s="464"/>
      <c r="D7" s="694"/>
      <c r="E7" s="694"/>
      <c r="F7" s="694"/>
      <c r="G7" s="694"/>
      <c r="Y7" s="467"/>
      <c r="Z7" s="467"/>
      <c r="AA7" s="467"/>
      <c r="AB7" s="468"/>
      <c r="AC7" s="468"/>
      <c r="AD7" s="463"/>
      <c r="AE7" s="463"/>
    </row>
    <row r="8" spans="2:31" ht="12.75" customHeight="1">
      <c r="B8" s="464"/>
      <c r="AD8" s="463"/>
      <c r="AE8" s="463"/>
    </row>
    <row r="9" spans="2:31" ht="12.75" customHeight="1">
      <c r="B9" s="464"/>
      <c r="AD9" s="463"/>
      <c r="AE9" s="463"/>
    </row>
    <row r="10" spans="2:31">
      <c r="B10" s="464"/>
      <c r="AD10" s="463"/>
      <c r="AE10" s="463"/>
    </row>
    <row r="11" spans="2:31">
      <c r="B11" s="464"/>
      <c r="AD11" s="463"/>
      <c r="AE11" s="463"/>
    </row>
    <row r="12" spans="2:31">
      <c r="B12" s="464"/>
      <c r="AD12" s="463"/>
      <c r="AE12" s="463"/>
    </row>
    <row r="13" spans="2:31">
      <c r="B13" s="464"/>
      <c r="AD13" s="463"/>
      <c r="AE13" s="463"/>
    </row>
    <row r="14" spans="2:31">
      <c r="B14" s="464"/>
      <c r="D14" s="469"/>
      <c r="AD14" s="463"/>
      <c r="AE14" s="463"/>
    </row>
    <row r="15" spans="2:31">
      <c r="B15" s="464"/>
      <c r="AD15" s="463"/>
      <c r="AE15" s="463"/>
    </row>
    <row r="16" spans="2:31">
      <c r="B16" s="464"/>
      <c r="AD16" s="463"/>
      <c r="AE16" s="463"/>
    </row>
    <row r="17" spans="2:31">
      <c r="B17" s="464"/>
      <c r="AD17" s="463"/>
      <c r="AE17" s="463"/>
    </row>
    <row r="18" spans="2:31">
      <c r="B18" s="464"/>
      <c r="AD18" s="463"/>
      <c r="AE18" s="463"/>
    </row>
    <row r="19" spans="2:31">
      <c r="B19" s="464"/>
      <c r="AD19" s="463"/>
      <c r="AE19" s="463"/>
    </row>
    <row r="20" spans="2:31">
      <c r="B20" s="464"/>
      <c r="AD20" s="463"/>
      <c r="AE20" s="463"/>
    </row>
    <row r="21" spans="2:31">
      <c r="B21" s="464"/>
      <c r="AD21" s="463"/>
      <c r="AE21" s="463"/>
    </row>
    <row r="22" spans="2:31">
      <c r="B22" s="464"/>
      <c r="AD22" s="463"/>
      <c r="AE22" s="463"/>
    </row>
    <row r="23" spans="2:31">
      <c r="B23" s="464"/>
      <c r="AD23" s="463"/>
      <c r="AE23" s="463"/>
    </row>
    <row r="24" spans="2:31">
      <c r="B24" s="464"/>
      <c r="AD24" s="463"/>
      <c r="AE24" s="463"/>
    </row>
    <row r="25" spans="2:31">
      <c r="B25" s="464"/>
      <c r="AD25" s="463"/>
      <c r="AE25" s="463"/>
    </row>
    <row r="26" spans="2:31">
      <c r="B26" s="464"/>
      <c r="AD26" s="463"/>
      <c r="AE26" s="463"/>
    </row>
    <row r="27" spans="2:31">
      <c r="B27" s="464"/>
      <c r="AD27" s="463"/>
      <c r="AE27" s="463"/>
    </row>
    <row r="28" spans="2:31">
      <c r="B28" s="464"/>
      <c r="AD28" s="463"/>
      <c r="AE28" s="463"/>
    </row>
    <row r="29" spans="2:31">
      <c r="B29" s="464"/>
      <c r="AD29" s="463"/>
      <c r="AE29" s="463"/>
    </row>
    <row r="30" spans="2:31">
      <c r="B30" s="464"/>
      <c r="AD30" s="463"/>
      <c r="AE30" s="463"/>
    </row>
    <row r="31" spans="2:31">
      <c r="B31" s="464"/>
      <c r="AD31" s="463"/>
      <c r="AE31" s="463"/>
    </row>
    <row r="32" spans="2:31">
      <c r="B32" s="464"/>
      <c r="AD32" s="463"/>
      <c r="AE32" s="463"/>
    </row>
    <row r="33" spans="2:31">
      <c r="B33" s="464"/>
      <c r="AD33" s="463"/>
      <c r="AE33" s="463"/>
    </row>
    <row r="34" spans="2:31">
      <c r="B34" s="464"/>
      <c r="AD34" s="463"/>
      <c r="AE34" s="463"/>
    </row>
    <row r="35" spans="2:31">
      <c r="B35" s="464"/>
      <c r="AD35" s="463"/>
      <c r="AE35" s="463"/>
    </row>
    <row r="36" spans="2:31">
      <c r="B36" s="464"/>
      <c r="AD36" s="463"/>
      <c r="AE36" s="463"/>
    </row>
    <row r="37" spans="2:31">
      <c r="B37" s="464"/>
      <c r="AD37" s="463"/>
      <c r="AE37" s="463"/>
    </row>
    <row r="38" spans="2:31">
      <c r="B38" s="464"/>
      <c r="AD38" s="463"/>
      <c r="AE38" s="463"/>
    </row>
    <row r="39" spans="2:31">
      <c r="B39" s="464"/>
      <c r="AD39" s="463"/>
      <c r="AE39" s="463"/>
    </row>
    <row r="40" spans="2:31">
      <c r="B40" s="464"/>
      <c r="AD40" s="463"/>
      <c r="AE40" s="463"/>
    </row>
    <row r="41" spans="2:31">
      <c r="B41" s="464"/>
      <c r="AD41" s="463"/>
      <c r="AE41" s="463"/>
    </row>
    <row r="42" spans="2:31">
      <c r="B42" s="464"/>
      <c r="AD42" s="463"/>
      <c r="AE42" s="463"/>
    </row>
    <row r="43" spans="2:31">
      <c r="B43" s="464"/>
      <c r="AD43" s="463"/>
      <c r="AE43" s="463"/>
    </row>
    <row r="44" spans="2:31">
      <c r="B44" s="464"/>
      <c r="AD44" s="463"/>
      <c r="AE44" s="463"/>
    </row>
    <row r="45" spans="2:31">
      <c r="B45" s="464"/>
      <c r="AD45" s="463"/>
      <c r="AE45" s="463"/>
    </row>
    <row r="46" spans="2:31">
      <c r="B46" s="464"/>
      <c r="AD46" s="463"/>
      <c r="AE46" s="463"/>
    </row>
    <row r="47" spans="2:31">
      <c r="B47" s="464"/>
      <c r="AD47" s="463"/>
      <c r="AE47" s="463"/>
    </row>
    <row r="48" spans="2:31">
      <c r="B48" s="464"/>
      <c r="AD48" s="463"/>
      <c r="AE48" s="463"/>
    </row>
    <row r="49" spans="2:31">
      <c r="B49" s="464"/>
      <c r="AD49" s="463"/>
      <c r="AE49" s="463"/>
    </row>
    <row r="50" spans="2:31">
      <c r="B50" s="464"/>
      <c r="AD50" s="463"/>
      <c r="AE50" s="463"/>
    </row>
    <row r="51" spans="2:31">
      <c r="B51" s="464"/>
      <c r="AD51" s="463"/>
      <c r="AE51" s="463"/>
    </row>
    <row r="52" spans="2:31">
      <c r="B52" s="464"/>
      <c r="AD52" s="463"/>
      <c r="AE52" s="463"/>
    </row>
    <row r="53" spans="2:31">
      <c r="B53" s="464"/>
      <c r="AD53" s="463"/>
      <c r="AE53" s="463"/>
    </row>
    <row r="54" spans="2:31">
      <c r="B54" s="464"/>
      <c r="AD54" s="463"/>
      <c r="AE54" s="463"/>
    </row>
    <row r="55" spans="2:31">
      <c r="B55" s="464"/>
      <c r="AD55" s="463"/>
      <c r="AE55" s="463"/>
    </row>
    <row r="56" spans="2:31">
      <c r="B56" s="464"/>
      <c r="R56" s="470"/>
      <c r="S56" s="470"/>
      <c r="T56" s="470"/>
      <c r="U56" s="471"/>
      <c r="V56" s="471"/>
      <c r="W56" s="471"/>
      <c r="X56" s="471"/>
      <c r="Y56" s="471"/>
      <c r="Z56" s="471"/>
      <c r="AA56" s="471"/>
      <c r="AB56" s="471"/>
      <c r="AC56" s="471"/>
      <c r="AD56" s="472"/>
      <c r="AE56" s="463"/>
    </row>
    <row r="57" spans="2:31">
      <c r="B57" s="464"/>
      <c r="R57" s="473"/>
      <c r="S57" s="470"/>
      <c r="T57" s="470"/>
      <c r="U57" s="471"/>
      <c r="V57" s="474"/>
      <c r="W57" s="471"/>
      <c r="X57" s="471"/>
      <c r="Y57" s="471"/>
      <c r="Z57" s="471"/>
      <c r="AA57" s="474"/>
      <c r="AB57" s="474"/>
      <c r="AC57" s="474"/>
      <c r="AD57" s="475"/>
      <c r="AE57" s="463"/>
    </row>
    <row r="58" spans="2:31">
      <c r="B58" s="464"/>
      <c r="U58" s="471"/>
      <c r="V58" s="474"/>
      <c r="W58" s="471"/>
      <c r="X58" s="471"/>
      <c r="Y58" s="471"/>
      <c r="Z58" s="471"/>
      <c r="AA58" s="474"/>
      <c r="AB58" s="471"/>
      <c r="AC58" s="471"/>
      <c r="AD58" s="472"/>
      <c r="AE58" s="463"/>
    </row>
    <row r="59" spans="2:31">
      <c r="B59" s="464"/>
      <c r="U59" s="471"/>
      <c r="V59" s="474"/>
      <c r="W59" s="471"/>
      <c r="X59" s="471"/>
      <c r="Y59" s="471"/>
      <c r="Z59" s="471"/>
      <c r="AA59" s="471"/>
      <c r="AB59" s="471"/>
      <c r="AC59" s="471"/>
      <c r="AD59" s="472"/>
      <c r="AE59" s="463"/>
    </row>
    <row r="60" spans="2:31">
      <c r="B60" s="464"/>
      <c r="U60" s="471"/>
      <c r="V60" s="474"/>
      <c r="W60" s="471"/>
      <c r="X60" s="471"/>
      <c r="Y60" s="471"/>
      <c r="Z60" s="471"/>
      <c r="AA60" s="471"/>
      <c r="AB60" s="471"/>
      <c r="AC60" s="471"/>
      <c r="AD60" s="472"/>
      <c r="AE60" s="463"/>
    </row>
    <row r="61" spans="2:31">
      <c r="B61" s="464"/>
      <c r="U61" s="471"/>
      <c r="V61" s="474"/>
      <c r="W61" s="471"/>
      <c r="X61" s="471"/>
      <c r="Y61" s="471"/>
      <c r="Z61" s="471"/>
      <c r="AA61" s="471"/>
      <c r="AB61" s="471"/>
      <c r="AC61" s="471"/>
      <c r="AD61" s="472"/>
      <c r="AE61" s="463"/>
    </row>
    <row r="62" spans="2:31">
      <c r="B62" s="464"/>
      <c r="U62" s="471"/>
      <c r="V62" s="474"/>
      <c r="W62" s="471"/>
      <c r="X62" s="471"/>
      <c r="Y62" s="471"/>
      <c r="Z62" s="471"/>
      <c r="AA62" s="474"/>
      <c r="AB62" s="471"/>
      <c r="AC62" s="471"/>
      <c r="AD62" s="472"/>
      <c r="AE62" s="463"/>
    </row>
    <row r="63" spans="2:31">
      <c r="B63" s="464"/>
      <c r="U63" s="471"/>
      <c r="V63" s="474"/>
      <c r="W63" s="471"/>
      <c r="X63" s="471"/>
      <c r="Y63" s="471"/>
      <c r="Z63" s="471"/>
      <c r="AA63" s="471"/>
      <c r="AB63" s="471"/>
      <c r="AC63" s="471"/>
      <c r="AD63" s="472"/>
      <c r="AE63" s="463"/>
    </row>
    <row r="64" spans="2:31">
      <c r="B64" s="464"/>
      <c r="U64" s="471"/>
      <c r="V64" s="474"/>
      <c r="W64" s="471"/>
      <c r="X64" s="471"/>
      <c r="Y64" s="471"/>
      <c r="Z64" s="471"/>
      <c r="AA64" s="471"/>
      <c r="AB64" s="471"/>
      <c r="AC64" s="471"/>
      <c r="AD64" s="472"/>
      <c r="AE64" s="463"/>
    </row>
    <row r="65" spans="2:31">
      <c r="B65" s="464"/>
      <c r="U65" s="471"/>
      <c r="V65" s="474"/>
      <c r="W65" s="471"/>
      <c r="X65" s="471"/>
      <c r="Y65" s="471"/>
      <c r="Z65" s="471"/>
      <c r="AA65" s="471"/>
      <c r="AB65" s="471"/>
      <c r="AC65" s="471"/>
      <c r="AD65" s="472"/>
      <c r="AE65" s="463"/>
    </row>
    <row r="66" spans="2:31">
      <c r="B66" s="464"/>
      <c r="U66" s="471"/>
      <c r="V66" s="474"/>
      <c r="W66" s="471"/>
      <c r="X66" s="471"/>
      <c r="Y66" s="471"/>
      <c r="Z66" s="471"/>
      <c r="AA66" s="471"/>
      <c r="AB66" s="471"/>
      <c r="AC66" s="471"/>
      <c r="AD66" s="472"/>
      <c r="AE66" s="463"/>
    </row>
    <row r="67" spans="2:31" ht="13.5" thickBot="1">
      <c r="B67" s="476"/>
      <c r="C67" s="477"/>
      <c r="D67" s="477"/>
      <c r="E67" s="477"/>
      <c r="F67" s="477"/>
      <c r="G67" s="477"/>
      <c r="H67" s="477"/>
      <c r="I67" s="477"/>
      <c r="J67" s="477"/>
      <c r="K67" s="477"/>
      <c r="L67" s="477"/>
      <c r="M67" s="477"/>
      <c r="N67" s="477"/>
      <c r="O67" s="477"/>
      <c r="P67" s="477"/>
      <c r="Q67" s="477"/>
      <c r="R67" s="477"/>
      <c r="S67" s="477"/>
      <c r="T67" s="477"/>
      <c r="U67" s="478"/>
      <c r="V67" s="479"/>
      <c r="W67" s="478"/>
      <c r="X67" s="478"/>
      <c r="Y67" s="478"/>
      <c r="Z67" s="478"/>
      <c r="AA67" s="478"/>
      <c r="AB67" s="478"/>
      <c r="AC67" s="478"/>
      <c r="AD67" s="480"/>
      <c r="AE67" s="463"/>
    </row>
    <row r="68" spans="2:31" ht="6" customHeight="1" thickBot="1">
      <c r="B68" s="477"/>
      <c r="C68" s="477"/>
      <c r="D68" s="477"/>
      <c r="E68" s="477"/>
      <c r="F68" s="477"/>
      <c r="G68" s="477"/>
      <c r="H68" s="477"/>
      <c r="I68" s="477"/>
      <c r="J68" s="477"/>
      <c r="K68" s="477"/>
      <c r="L68" s="477"/>
      <c r="M68" s="477"/>
      <c r="N68" s="477"/>
      <c r="O68" s="477"/>
      <c r="P68" s="477"/>
      <c r="Q68" s="477"/>
      <c r="R68" s="477"/>
      <c r="S68" s="477"/>
      <c r="T68" s="477"/>
      <c r="U68" s="477"/>
      <c r="V68" s="477"/>
      <c r="W68" s="477"/>
      <c r="X68" s="477"/>
      <c r="Y68" s="477"/>
      <c r="Z68" s="477"/>
      <c r="AA68" s="477"/>
      <c r="AB68" s="477"/>
      <c r="AC68" s="477"/>
      <c r="AD68" s="477"/>
      <c r="AE68" s="481"/>
    </row>
    <row r="75" spans="2:31">
      <c r="M75" s="482"/>
    </row>
    <row r="76" spans="2:31" ht="15" customHeight="1">
      <c r="E76" s="483"/>
      <c r="M76" s="482"/>
    </row>
    <row r="77" spans="2:31" ht="15" customHeight="1">
      <c r="E77" s="483"/>
      <c r="M77" s="482"/>
    </row>
    <row r="78" spans="2:31" ht="15" customHeight="1">
      <c r="E78" s="483"/>
      <c r="M78" s="482"/>
    </row>
    <row r="79" spans="2:31" ht="15" customHeight="1">
      <c r="E79" s="483"/>
      <c r="M79" s="482"/>
    </row>
    <row r="80" spans="2:31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  <c r="M96" s="482"/>
    </row>
    <row r="97" spans="5:13" ht="15" customHeight="1">
      <c r="E97" s="483"/>
      <c r="M97" s="482"/>
    </row>
    <row r="98" spans="5:13" ht="15" customHeight="1">
      <c r="E98" s="483"/>
    </row>
    <row r="99" spans="5:13" ht="15" customHeight="1">
      <c r="E99" s="483"/>
    </row>
    <row r="100" spans="5:13" ht="15" customHeight="1">
      <c r="E100" s="483"/>
    </row>
    <row r="101" spans="5:13" ht="15" customHeight="1">
      <c r="E101" s="483"/>
    </row>
    <row r="102" spans="5:13" ht="15" customHeight="1">
      <c r="E102" s="483"/>
    </row>
    <row r="103" spans="5:13" ht="15" customHeight="1">
      <c r="E103" s="483"/>
    </row>
    <row r="104" spans="5:13" ht="15" customHeight="1">
      <c r="E104" s="483"/>
    </row>
    <row r="105" spans="5:13" ht="15" customHeight="1">
      <c r="E105" s="483"/>
    </row>
    <row r="106" spans="5:13" ht="15" customHeight="1">
      <c r="E106" s="483"/>
    </row>
    <row r="107" spans="5:13" ht="15" customHeight="1">
      <c r="E107" s="483"/>
    </row>
    <row r="108" spans="5:13" ht="15" customHeight="1">
      <c r="E108" s="483"/>
    </row>
    <row r="109" spans="5:13" ht="15" customHeight="1">
      <c r="E109" s="483"/>
    </row>
    <row r="110" spans="5:13" ht="15" customHeight="1">
      <c r="E110" s="483"/>
    </row>
    <row r="111" spans="5:13" ht="15" customHeight="1">
      <c r="E111" s="483"/>
    </row>
    <row r="112" spans="5:13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 ht="15" customHeight="1">
      <c r="E120" s="483"/>
    </row>
    <row r="121" spans="5:5" ht="15" customHeight="1">
      <c r="E121" s="483"/>
    </row>
    <row r="122" spans="5:5">
      <c r="E122" s="483"/>
    </row>
  </sheetData>
  <mergeCells count="2">
    <mergeCell ref="C3:AB4"/>
    <mergeCell ref="D6:G7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zoomScale="70" zoomScaleNormal="70" zoomScaleSheetLayoutView="55" workbookViewId="0">
      <selection activeCell="D6" sqref="D6"/>
    </sheetView>
  </sheetViews>
  <sheetFormatPr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8" t="s">
        <v>1650</v>
      </c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90"/>
      <c r="AD4" s="206"/>
      <c r="AE4" s="205"/>
      <c r="AF4" s="205"/>
    </row>
    <row r="5" spans="2:32" ht="13.5" customHeight="1" thickBot="1">
      <c r="B5" s="204"/>
      <c r="C5" s="204"/>
      <c r="D5" s="691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3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3">
        <v>1</v>
      </c>
    </row>
    <row r="2" spans="1:11" ht="48" customHeight="1">
      <c r="A2" s="383">
        <v>3</v>
      </c>
    </row>
    <row r="4" spans="1:11" ht="48" customHeight="1">
      <c r="C4" s="383">
        <v>1</v>
      </c>
    </row>
    <row r="5" spans="1:11" ht="48" customHeight="1">
      <c r="C5" s="383">
        <v>3</v>
      </c>
    </row>
    <row r="7" spans="1:11" ht="48" customHeight="1">
      <c r="E7" s="383">
        <v>1</v>
      </c>
    </row>
    <row r="8" spans="1:11" ht="48" customHeight="1">
      <c r="E8" s="383">
        <v>3</v>
      </c>
    </row>
    <row r="10" spans="1:11" ht="48" customHeight="1">
      <c r="G10" s="383">
        <v>3</v>
      </c>
    </row>
    <row r="11" spans="1:11" ht="48" customHeight="1">
      <c r="G11" s="383">
        <v>1</v>
      </c>
    </row>
    <row r="13" spans="1:11" ht="48" customHeight="1">
      <c r="I13" s="383">
        <v>3</v>
      </c>
    </row>
    <row r="14" spans="1:11" ht="48" customHeight="1">
      <c r="I14" s="383">
        <v>1</v>
      </c>
    </row>
    <row r="16" spans="1:11" ht="48" customHeight="1">
      <c r="K16" s="383">
        <v>3</v>
      </c>
    </row>
    <row r="17" spans="11:21" ht="48" customHeight="1">
      <c r="K17" s="383">
        <v>1</v>
      </c>
    </row>
    <row r="19" spans="11:21" ht="48" customHeight="1">
      <c r="M19" s="383">
        <v>3</v>
      </c>
    </row>
    <row r="20" spans="11:21" ht="48" customHeight="1">
      <c r="M20" s="383">
        <v>1</v>
      </c>
    </row>
    <row r="22" spans="11:21" ht="48" customHeight="1">
      <c r="O22" s="383">
        <v>3</v>
      </c>
    </row>
    <row r="23" spans="11:21" ht="48" customHeight="1">
      <c r="O23" s="383">
        <v>1</v>
      </c>
    </row>
    <row r="25" spans="11:21" ht="57" customHeight="1">
      <c r="Q25" s="383">
        <v>3</v>
      </c>
    </row>
    <row r="26" spans="11:21" ht="57" customHeight="1">
      <c r="Q26" s="383">
        <v>1</v>
      </c>
    </row>
    <row r="28" spans="11:21" ht="57" customHeight="1">
      <c r="S28" s="383">
        <v>3</v>
      </c>
    </row>
    <row r="29" spans="11:21" ht="57" customHeight="1">
      <c r="S29" s="383">
        <v>1</v>
      </c>
    </row>
    <row r="31" spans="11:21" ht="57" customHeight="1">
      <c r="U31" s="383">
        <v>3</v>
      </c>
    </row>
    <row r="32" spans="11:21" ht="57" customHeight="1">
      <c r="U32" s="38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EKO WINARNO</cp:lastModifiedBy>
  <cp:lastPrinted>2023-11-01T06:23:49Z</cp:lastPrinted>
  <dcterms:created xsi:type="dcterms:W3CDTF">2011-02-06T11:57:38Z</dcterms:created>
  <dcterms:modified xsi:type="dcterms:W3CDTF">2023-11-01T06:25:14Z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2023-11-01T04:15:35Z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a8d986ee-04da-4fec-be4d-23b19f76b11d</vt:lpwstr>
  </property>
  <property fmtid="{D5CDD505-2E9C-101B-9397-08002B2CF9AE}" pid="8" name="MSIP_Label_defa4170-0d19-0005-0004-bc88714345d2_ContentBits">
    <vt:lpwstr>0</vt:lpwstr>
  </property>
</Properties>
</file>